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（合格）2021年白沙黎族自治县中小学教师招聘 (2)" sheetId="1" r:id="rId1"/>
  </sheets>
  <definedNames>
    <definedName name="_xlnm._FilterDatabase" localSheetId="0" hidden="1">'（合格）2021年白沙黎族自治县中小学教师招聘 (2)'!$A$2:$F$2374</definedName>
  </definedNames>
  <calcPr calcId="144525"/>
</workbook>
</file>

<file path=xl/sharedStrings.xml><?xml version="1.0" encoding="utf-8"?>
<sst xmlns="http://schemas.openxmlformats.org/spreadsheetml/2006/main" count="2379" uniqueCount="38">
  <si>
    <t>2021年白沙黎族自治县中小学教师招聘
资格审查合格人员名单</t>
  </si>
  <si>
    <t>序号</t>
  </si>
  <si>
    <t>报考号</t>
  </si>
  <si>
    <t>报考岗位</t>
  </si>
  <si>
    <t>姓名</t>
  </si>
  <si>
    <t>性别</t>
  </si>
  <si>
    <t>民族</t>
  </si>
  <si>
    <t>0101_初中语文</t>
  </si>
  <si>
    <t>0102_初中美术</t>
  </si>
  <si>
    <t>0201_初中历史</t>
  </si>
  <si>
    <t>0202_初中音乐</t>
  </si>
  <si>
    <t>0301_小学语文</t>
  </si>
  <si>
    <t>0302_小学数学</t>
  </si>
  <si>
    <t>0401_初中语文</t>
  </si>
  <si>
    <t>0402_初中数学</t>
  </si>
  <si>
    <t>0403_初中政治</t>
  </si>
  <si>
    <t>0501_小学语文</t>
  </si>
  <si>
    <t>0601_初中语文</t>
  </si>
  <si>
    <t>0701_小学语文</t>
  </si>
  <si>
    <t>0702_小学数学</t>
  </si>
  <si>
    <t>0801_初中政治</t>
  </si>
  <si>
    <t>0802_初中历史</t>
  </si>
  <si>
    <t>0901_小学英语</t>
  </si>
  <si>
    <t>0902_小学美术</t>
  </si>
  <si>
    <t>1001_小学语文</t>
  </si>
  <si>
    <t>1002_小学数学</t>
  </si>
  <si>
    <t>1101_初中音乐</t>
  </si>
  <si>
    <t>1102_初中语文</t>
  </si>
  <si>
    <t>1103_初中数学</t>
  </si>
  <si>
    <t>1201_初中语文</t>
  </si>
  <si>
    <t>1202_初中数学</t>
  </si>
  <si>
    <t>1301_初中语文</t>
  </si>
  <si>
    <t>1302_初中化学</t>
  </si>
  <si>
    <t>1303_初中英语</t>
  </si>
  <si>
    <t>1401_小学英语</t>
  </si>
  <si>
    <t>1402_小学语文</t>
  </si>
  <si>
    <t>1403_小学数学</t>
  </si>
  <si>
    <t>1501_小学信息技术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</si>
</sst>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4"/>
  <sheetViews>
    <sheetView tabSelected="1" zoomScaleSheetLayoutView="60" workbookViewId="0">
      <selection activeCell="H8" sqref="H8"/>
    </sheetView>
  </sheetViews>
  <sheetFormatPr defaultColWidth="9" defaultRowHeight="13.5" outlineLevelCol="5"/>
  <cols>
    <col min="1" max="1" width="9" style="2"/>
    <col min="2" max="2" width="24.5" style="2" customWidth="1"/>
    <col min="3" max="3" width="14.5" style="2" customWidth="1"/>
    <col min="4" max="236" width="9" style="2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5" t="str">
        <f>"36412021123109015469629"</f>
        <v>36412021123109015469629</v>
      </c>
      <c r="C3" s="5" t="s">
        <v>7</v>
      </c>
      <c r="D3" s="5" t="str">
        <f>"赵永祎"</f>
        <v>赵永祎</v>
      </c>
      <c r="E3" s="5" t="str">
        <f>"女"</f>
        <v>女</v>
      </c>
      <c r="F3" s="5" t="str">
        <f t="shared" ref="F3:F8" si="0">"汉族"</f>
        <v>汉族</v>
      </c>
    </row>
    <row r="4" ht="30" customHeight="1" spans="1:6">
      <c r="A4" s="5">
        <v>2</v>
      </c>
      <c r="B4" s="5" t="str">
        <f>"36412021123109551769876"</f>
        <v>36412021123109551769876</v>
      </c>
      <c r="C4" s="5" t="s">
        <v>7</v>
      </c>
      <c r="D4" s="5" t="str">
        <f>"韩静"</f>
        <v>韩静</v>
      </c>
      <c r="E4" s="5" t="str">
        <f>"女"</f>
        <v>女</v>
      </c>
      <c r="F4" s="5" t="str">
        <f t="shared" si="0"/>
        <v>汉族</v>
      </c>
    </row>
    <row r="5" ht="30" customHeight="1" spans="1:6">
      <c r="A5" s="5">
        <v>3</v>
      </c>
      <c r="B5" s="5" t="str">
        <f>"36412021123111041770210"</f>
        <v>36412021123111041770210</v>
      </c>
      <c r="C5" s="5" t="s">
        <v>7</v>
      </c>
      <c r="D5" s="5" t="str">
        <f>"陈小慧"</f>
        <v>陈小慧</v>
      </c>
      <c r="E5" s="5" t="str">
        <f>"女"</f>
        <v>女</v>
      </c>
      <c r="F5" s="5" t="str">
        <f t="shared" si="0"/>
        <v>汉族</v>
      </c>
    </row>
    <row r="6" ht="30" customHeight="1" spans="1:6">
      <c r="A6" s="5">
        <v>4</v>
      </c>
      <c r="B6" s="5" t="str">
        <f>"36412021123111135670252"</f>
        <v>36412021123111135670252</v>
      </c>
      <c r="C6" s="5" t="s">
        <v>7</v>
      </c>
      <c r="D6" s="5" t="str">
        <f>"陈浩"</f>
        <v>陈浩</v>
      </c>
      <c r="E6" s="5" t="str">
        <f>"男"</f>
        <v>男</v>
      </c>
      <c r="F6" s="5" t="str">
        <f t="shared" si="0"/>
        <v>汉族</v>
      </c>
    </row>
    <row r="7" ht="30" customHeight="1" spans="1:6">
      <c r="A7" s="5">
        <v>5</v>
      </c>
      <c r="B7" s="5" t="str">
        <f>"36412021123111184570271"</f>
        <v>36412021123111184570271</v>
      </c>
      <c r="C7" s="5" t="s">
        <v>7</v>
      </c>
      <c r="D7" s="5" t="str">
        <f>"王海云"</f>
        <v>王海云</v>
      </c>
      <c r="E7" s="5" t="str">
        <f>"女"</f>
        <v>女</v>
      </c>
      <c r="F7" s="5" t="str">
        <f t="shared" si="0"/>
        <v>汉族</v>
      </c>
    </row>
    <row r="8" ht="30" customHeight="1" spans="1:6">
      <c r="A8" s="5">
        <v>6</v>
      </c>
      <c r="B8" s="5" t="str">
        <f>"36412021123114571670813"</f>
        <v>36412021123114571670813</v>
      </c>
      <c r="C8" s="5" t="s">
        <v>7</v>
      </c>
      <c r="D8" s="5" t="str">
        <f>"万传芳"</f>
        <v>万传芳</v>
      </c>
      <c r="E8" s="5" t="str">
        <f>"女"</f>
        <v>女</v>
      </c>
      <c r="F8" s="5" t="str">
        <f t="shared" si="0"/>
        <v>汉族</v>
      </c>
    </row>
    <row r="9" ht="30" customHeight="1" spans="1:6">
      <c r="A9" s="5">
        <v>7</v>
      </c>
      <c r="B9" s="5" t="str">
        <f>"36412021123115304570902"</f>
        <v>36412021123115304570902</v>
      </c>
      <c r="C9" s="5" t="s">
        <v>7</v>
      </c>
      <c r="D9" s="5" t="str">
        <f>"符杰贤"</f>
        <v>符杰贤</v>
      </c>
      <c r="E9" s="5" t="str">
        <f>"男"</f>
        <v>男</v>
      </c>
      <c r="F9" s="5" t="str">
        <f>"黎族"</f>
        <v>黎族</v>
      </c>
    </row>
    <row r="10" ht="30" customHeight="1" spans="1:6">
      <c r="A10" s="5">
        <v>8</v>
      </c>
      <c r="B10" s="5" t="str">
        <f>"36412021123115323970907"</f>
        <v>36412021123115323970907</v>
      </c>
      <c r="C10" s="5" t="s">
        <v>7</v>
      </c>
      <c r="D10" s="5" t="str">
        <f>"马敏敏"</f>
        <v>马敏敏</v>
      </c>
      <c r="E10" s="5" t="str">
        <f t="shared" ref="E10:E18" si="1">"女"</f>
        <v>女</v>
      </c>
      <c r="F10" s="5" t="str">
        <f>"汉族"</f>
        <v>汉族</v>
      </c>
    </row>
    <row r="11" ht="30" customHeight="1" spans="1:6">
      <c r="A11" s="5">
        <v>9</v>
      </c>
      <c r="B11" s="5" t="str">
        <f>"36412021123119283671232"</f>
        <v>36412021123119283671232</v>
      </c>
      <c r="C11" s="5" t="s">
        <v>7</v>
      </c>
      <c r="D11" s="5" t="str">
        <f>"黄杨椀"</f>
        <v>黄杨椀</v>
      </c>
      <c r="E11" s="5" t="str">
        <f t="shared" si="1"/>
        <v>女</v>
      </c>
      <c r="F11" s="5" t="str">
        <f>"汉族"</f>
        <v>汉族</v>
      </c>
    </row>
    <row r="12" ht="30" customHeight="1" spans="1:6">
      <c r="A12" s="5">
        <v>10</v>
      </c>
      <c r="B12" s="5" t="str">
        <f>"36412021123122074671351"</f>
        <v>36412021123122074671351</v>
      </c>
      <c r="C12" s="5" t="s">
        <v>7</v>
      </c>
      <c r="D12" s="5" t="str">
        <f>"倪宛莹"</f>
        <v>倪宛莹</v>
      </c>
      <c r="E12" s="5" t="str">
        <f t="shared" si="1"/>
        <v>女</v>
      </c>
      <c r="F12" s="5" t="str">
        <f>"回族"</f>
        <v>回族</v>
      </c>
    </row>
    <row r="13" ht="30" customHeight="1" spans="1:6">
      <c r="A13" s="5">
        <v>11</v>
      </c>
      <c r="B13" s="5" t="str">
        <f>"36412022010121113272227"</f>
        <v>36412022010121113272227</v>
      </c>
      <c r="C13" s="5" t="s">
        <v>7</v>
      </c>
      <c r="D13" s="5" t="str">
        <f>"李豫"</f>
        <v>李豫</v>
      </c>
      <c r="E13" s="5" t="str">
        <f t="shared" si="1"/>
        <v>女</v>
      </c>
      <c r="F13" s="5" t="str">
        <f t="shared" ref="F13:F19" si="2">"汉族"</f>
        <v>汉族</v>
      </c>
    </row>
    <row r="14" ht="30" customHeight="1" spans="1:6">
      <c r="A14" s="5">
        <v>12</v>
      </c>
      <c r="B14" s="5" t="str">
        <f>"36412022010220345973257"</f>
        <v>36412022010220345973257</v>
      </c>
      <c r="C14" s="5" t="s">
        <v>7</v>
      </c>
      <c r="D14" s="5" t="str">
        <f>"杭苗心"</f>
        <v>杭苗心</v>
      </c>
      <c r="E14" s="5" t="str">
        <f t="shared" si="1"/>
        <v>女</v>
      </c>
      <c r="F14" s="5" t="str">
        <f t="shared" si="2"/>
        <v>汉族</v>
      </c>
    </row>
    <row r="15" ht="30" customHeight="1" spans="1:6">
      <c r="A15" s="5">
        <v>13</v>
      </c>
      <c r="B15" s="5" t="str">
        <f>"36412022010312455574796"</f>
        <v>36412022010312455574796</v>
      </c>
      <c r="C15" s="5" t="s">
        <v>7</v>
      </c>
      <c r="D15" s="5" t="str">
        <f>"刘慧婧"</f>
        <v>刘慧婧</v>
      </c>
      <c r="E15" s="5" t="str">
        <f t="shared" si="1"/>
        <v>女</v>
      </c>
      <c r="F15" s="5" t="str">
        <f t="shared" si="2"/>
        <v>汉族</v>
      </c>
    </row>
    <row r="16" ht="30" customHeight="1" spans="1:6">
      <c r="A16" s="5">
        <v>14</v>
      </c>
      <c r="B16" s="5" t="str">
        <f>"36412022010313071174887"</f>
        <v>36412022010313071174887</v>
      </c>
      <c r="C16" s="5" t="s">
        <v>7</v>
      </c>
      <c r="D16" s="5" t="str">
        <f>"钟荣娜"</f>
        <v>钟荣娜</v>
      </c>
      <c r="E16" s="5" t="str">
        <f t="shared" si="1"/>
        <v>女</v>
      </c>
      <c r="F16" s="5" t="str">
        <f t="shared" si="2"/>
        <v>汉族</v>
      </c>
    </row>
    <row r="17" ht="30" customHeight="1" spans="1:6">
      <c r="A17" s="5">
        <v>15</v>
      </c>
      <c r="B17" s="5" t="str">
        <f>"36412022010315534375496"</f>
        <v>36412022010315534375496</v>
      </c>
      <c r="C17" s="5" t="s">
        <v>7</v>
      </c>
      <c r="D17" s="5" t="str">
        <f>"梁杨"</f>
        <v>梁杨</v>
      </c>
      <c r="E17" s="5" t="str">
        <f t="shared" si="1"/>
        <v>女</v>
      </c>
      <c r="F17" s="5" t="str">
        <f t="shared" si="2"/>
        <v>汉族</v>
      </c>
    </row>
    <row r="18" ht="30" customHeight="1" spans="1:6">
      <c r="A18" s="5">
        <v>16</v>
      </c>
      <c r="B18" s="5" t="str">
        <f>"36412022010316272975622"</f>
        <v>36412022010316272975622</v>
      </c>
      <c r="C18" s="5" t="s">
        <v>7</v>
      </c>
      <c r="D18" s="5" t="str">
        <f>"李日红"</f>
        <v>李日红</v>
      </c>
      <c r="E18" s="5" t="str">
        <f t="shared" si="1"/>
        <v>女</v>
      </c>
      <c r="F18" s="5" t="str">
        <f t="shared" si="2"/>
        <v>汉族</v>
      </c>
    </row>
    <row r="19" ht="30" customHeight="1" spans="1:6">
      <c r="A19" s="5">
        <v>17</v>
      </c>
      <c r="B19" s="5" t="str">
        <f>"36412022010317365175850"</f>
        <v>36412022010317365175850</v>
      </c>
      <c r="C19" s="5" t="s">
        <v>7</v>
      </c>
      <c r="D19" s="5" t="str">
        <f>"曾薛棋"</f>
        <v>曾薛棋</v>
      </c>
      <c r="E19" s="5" t="str">
        <f>"男"</f>
        <v>男</v>
      </c>
      <c r="F19" s="5" t="str">
        <f t="shared" si="2"/>
        <v>汉族</v>
      </c>
    </row>
    <row r="20" ht="30" customHeight="1" spans="1:6">
      <c r="A20" s="5">
        <v>18</v>
      </c>
      <c r="B20" s="5" t="str">
        <f>"36412022010319110776143"</f>
        <v>36412022010319110776143</v>
      </c>
      <c r="C20" s="5" t="s">
        <v>7</v>
      </c>
      <c r="D20" s="5" t="str">
        <f>"陈民丽"</f>
        <v>陈民丽</v>
      </c>
      <c r="E20" s="5" t="str">
        <f>"女"</f>
        <v>女</v>
      </c>
      <c r="F20" s="5" t="str">
        <f>"黎族"</f>
        <v>黎族</v>
      </c>
    </row>
    <row r="21" ht="30" customHeight="1" spans="1:6">
      <c r="A21" s="5">
        <v>19</v>
      </c>
      <c r="B21" s="5" t="str">
        <f>"36412022010322090776722"</f>
        <v>36412022010322090776722</v>
      </c>
      <c r="C21" s="5" t="s">
        <v>7</v>
      </c>
      <c r="D21" s="5" t="str">
        <f>"何文文"</f>
        <v>何文文</v>
      </c>
      <c r="E21" s="5" t="str">
        <f>"女"</f>
        <v>女</v>
      </c>
      <c r="F21" s="5" t="str">
        <f>"汉族"</f>
        <v>汉族</v>
      </c>
    </row>
    <row r="22" ht="30" customHeight="1" spans="1:6">
      <c r="A22" s="5">
        <v>20</v>
      </c>
      <c r="B22" s="5" t="str">
        <f>"36412022010322561176839"</f>
        <v>36412022010322561176839</v>
      </c>
      <c r="C22" s="5" t="s">
        <v>7</v>
      </c>
      <c r="D22" s="5" t="str">
        <f>"甘露"</f>
        <v>甘露</v>
      </c>
      <c r="E22" s="5" t="str">
        <f>"女"</f>
        <v>女</v>
      </c>
      <c r="F22" s="5" t="str">
        <f>"黎族"</f>
        <v>黎族</v>
      </c>
    </row>
    <row r="23" ht="30" customHeight="1" spans="1:6">
      <c r="A23" s="5">
        <v>21</v>
      </c>
      <c r="B23" s="5" t="str">
        <f>"36412022010408262277176"</f>
        <v>36412022010408262277176</v>
      </c>
      <c r="C23" s="5" t="s">
        <v>7</v>
      </c>
      <c r="D23" s="5" t="str">
        <f>"栾芮"</f>
        <v>栾芮</v>
      </c>
      <c r="E23" s="5" t="str">
        <f>"男"</f>
        <v>男</v>
      </c>
      <c r="F23" s="5" t="str">
        <f t="shared" ref="F23:F28" si="3">"汉族"</f>
        <v>汉族</v>
      </c>
    </row>
    <row r="24" ht="30" customHeight="1" spans="1:6">
      <c r="A24" s="5">
        <v>22</v>
      </c>
      <c r="B24" s="5" t="str">
        <f>"36412022010408293577192"</f>
        <v>36412022010408293577192</v>
      </c>
      <c r="C24" s="5" t="s">
        <v>7</v>
      </c>
      <c r="D24" s="5" t="str">
        <f>"谢凤妹"</f>
        <v>谢凤妹</v>
      </c>
      <c r="E24" s="5" t="str">
        <f t="shared" ref="E24:E36" si="4">"女"</f>
        <v>女</v>
      </c>
      <c r="F24" s="5" t="str">
        <f t="shared" si="3"/>
        <v>汉族</v>
      </c>
    </row>
    <row r="25" ht="30" customHeight="1" spans="1:6">
      <c r="A25" s="5">
        <v>23</v>
      </c>
      <c r="B25" s="5" t="str">
        <f>"36412022010409203077555"</f>
        <v>36412022010409203077555</v>
      </c>
      <c r="C25" s="5" t="s">
        <v>7</v>
      </c>
      <c r="D25" s="5" t="str">
        <f>"杨婷"</f>
        <v>杨婷</v>
      </c>
      <c r="E25" s="5" t="str">
        <f t="shared" si="4"/>
        <v>女</v>
      </c>
      <c r="F25" s="5" t="str">
        <f t="shared" si="3"/>
        <v>汉族</v>
      </c>
    </row>
    <row r="26" ht="30" customHeight="1" spans="1:6">
      <c r="A26" s="5">
        <v>24</v>
      </c>
      <c r="B26" s="5" t="str">
        <f>"36412022010409282677626"</f>
        <v>36412022010409282677626</v>
      </c>
      <c r="C26" s="5" t="s">
        <v>7</v>
      </c>
      <c r="D26" s="5" t="str">
        <f>"陈俊伊"</f>
        <v>陈俊伊</v>
      </c>
      <c r="E26" s="5" t="str">
        <f t="shared" si="4"/>
        <v>女</v>
      </c>
      <c r="F26" s="5" t="str">
        <f t="shared" si="3"/>
        <v>汉族</v>
      </c>
    </row>
    <row r="27" ht="30" customHeight="1" spans="1:6">
      <c r="A27" s="5">
        <v>25</v>
      </c>
      <c r="B27" s="5" t="str">
        <f>"36412022010409595177895"</f>
        <v>36412022010409595177895</v>
      </c>
      <c r="C27" s="5" t="s">
        <v>7</v>
      </c>
      <c r="D27" s="5" t="str">
        <f>"薛琼"</f>
        <v>薛琼</v>
      </c>
      <c r="E27" s="5" t="str">
        <f t="shared" si="4"/>
        <v>女</v>
      </c>
      <c r="F27" s="5" t="str">
        <f t="shared" si="3"/>
        <v>汉族</v>
      </c>
    </row>
    <row r="28" ht="30" customHeight="1" spans="1:6">
      <c r="A28" s="5">
        <v>26</v>
      </c>
      <c r="B28" s="5" t="str">
        <f>"36412022010411230878642"</f>
        <v>36412022010411230878642</v>
      </c>
      <c r="C28" s="5" t="s">
        <v>7</v>
      </c>
      <c r="D28" s="5" t="str">
        <f>"庞华南"</f>
        <v>庞华南</v>
      </c>
      <c r="E28" s="5" t="str">
        <f t="shared" si="4"/>
        <v>女</v>
      </c>
      <c r="F28" s="5" t="str">
        <f t="shared" si="3"/>
        <v>汉族</v>
      </c>
    </row>
    <row r="29" ht="30" customHeight="1" spans="1:6">
      <c r="A29" s="5">
        <v>27</v>
      </c>
      <c r="B29" s="5" t="str">
        <f>"36412022010416245180231"</f>
        <v>36412022010416245180231</v>
      </c>
      <c r="C29" s="5" t="s">
        <v>7</v>
      </c>
      <c r="D29" s="5" t="str">
        <f>"余前"</f>
        <v>余前</v>
      </c>
      <c r="E29" s="5" t="str">
        <f t="shared" si="4"/>
        <v>女</v>
      </c>
      <c r="F29" s="5" t="str">
        <f>"壮族"</f>
        <v>壮族</v>
      </c>
    </row>
    <row r="30" ht="30" customHeight="1" spans="1:6">
      <c r="A30" s="5">
        <v>28</v>
      </c>
      <c r="B30" s="5" t="str">
        <f>"36412022010416403580318"</f>
        <v>36412022010416403580318</v>
      </c>
      <c r="C30" s="5" t="s">
        <v>7</v>
      </c>
      <c r="D30" s="5" t="str">
        <f>"符文丽"</f>
        <v>符文丽</v>
      </c>
      <c r="E30" s="5" t="str">
        <f t="shared" si="4"/>
        <v>女</v>
      </c>
      <c r="F30" s="5" t="str">
        <f t="shared" ref="F30:F47" si="5">"汉族"</f>
        <v>汉族</v>
      </c>
    </row>
    <row r="31" ht="30" customHeight="1" spans="1:6">
      <c r="A31" s="5">
        <v>29</v>
      </c>
      <c r="B31" s="5" t="str">
        <f>"36412022010417274080575"</f>
        <v>36412022010417274080575</v>
      </c>
      <c r="C31" s="5" t="s">
        <v>7</v>
      </c>
      <c r="D31" s="5" t="str">
        <f>"史超雅"</f>
        <v>史超雅</v>
      </c>
      <c r="E31" s="5" t="str">
        <f t="shared" si="4"/>
        <v>女</v>
      </c>
      <c r="F31" s="5" t="str">
        <f t="shared" si="5"/>
        <v>汉族</v>
      </c>
    </row>
    <row r="32" ht="30" customHeight="1" spans="1:6">
      <c r="A32" s="5">
        <v>30</v>
      </c>
      <c r="B32" s="5" t="str">
        <f>"36412022010420510081529"</f>
        <v>36412022010420510081529</v>
      </c>
      <c r="C32" s="5" t="s">
        <v>7</v>
      </c>
      <c r="D32" s="5" t="str">
        <f>"王慧"</f>
        <v>王慧</v>
      </c>
      <c r="E32" s="5" t="str">
        <f t="shared" si="4"/>
        <v>女</v>
      </c>
      <c r="F32" s="5" t="str">
        <f t="shared" si="5"/>
        <v>汉族</v>
      </c>
    </row>
    <row r="33" ht="30" customHeight="1" spans="1:6">
      <c r="A33" s="5">
        <v>31</v>
      </c>
      <c r="B33" s="5" t="str">
        <f>"36412022010423432582186"</f>
        <v>36412022010423432582186</v>
      </c>
      <c r="C33" s="5" t="s">
        <v>7</v>
      </c>
      <c r="D33" s="5" t="str">
        <f>"赵仙丽"</f>
        <v>赵仙丽</v>
      </c>
      <c r="E33" s="5" t="str">
        <f t="shared" si="4"/>
        <v>女</v>
      </c>
      <c r="F33" s="5" t="str">
        <f t="shared" si="5"/>
        <v>汉族</v>
      </c>
    </row>
    <row r="34" ht="30" customHeight="1" spans="1:6">
      <c r="A34" s="5">
        <v>32</v>
      </c>
      <c r="B34" s="5" t="str">
        <f>"36412022010500054482240"</f>
        <v>36412022010500054482240</v>
      </c>
      <c r="C34" s="5" t="s">
        <v>7</v>
      </c>
      <c r="D34" s="5" t="str">
        <f>"林欣"</f>
        <v>林欣</v>
      </c>
      <c r="E34" s="5" t="str">
        <f t="shared" si="4"/>
        <v>女</v>
      </c>
      <c r="F34" s="5" t="str">
        <f t="shared" si="5"/>
        <v>汉族</v>
      </c>
    </row>
    <row r="35" ht="30" customHeight="1" spans="1:6">
      <c r="A35" s="5">
        <v>33</v>
      </c>
      <c r="B35" s="5" t="str">
        <f>"36412022010500155782255"</f>
        <v>36412022010500155782255</v>
      </c>
      <c r="C35" s="5" t="s">
        <v>7</v>
      </c>
      <c r="D35" s="5" t="str">
        <f>"黎引雪"</f>
        <v>黎引雪</v>
      </c>
      <c r="E35" s="5" t="str">
        <f t="shared" si="4"/>
        <v>女</v>
      </c>
      <c r="F35" s="5" t="str">
        <f t="shared" si="5"/>
        <v>汉族</v>
      </c>
    </row>
    <row r="36" ht="30" customHeight="1" spans="1:6">
      <c r="A36" s="5">
        <v>34</v>
      </c>
      <c r="B36" s="5" t="str">
        <f>"36412022010510355683091"</f>
        <v>36412022010510355683091</v>
      </c>
      <c r="C36" s="5" t="s">
        <v>7</v>
      </c>
      <c r="D36" s="5" t="str">
        <f>"陈嫦初"</f>
        <v>陈嫦初</v>
      </c>
      <c r="E36" s="5" t="str">
        <f t="shared" si="4"/>
        <v>女</v>
      </c>
      <c r="F36" s="5" t="str">
        <f t="shared" si="5"/>
        <v>汉族</v>
      </c>
    </row>
    <row r="37" ht="30" customHeight="1" spans="1:6">
      <c r="A37" s="5">
        <v>35</v>
      </c>
      <c r="B37" s="5" t="str">
        <f>"36412022010511073983326"</f>
        <v>36412022010511073983326</v>
      </c>
      <c r="C37" s="5" t="s">
        <v>7</v>
      </c>
      <c r="D37" s="5" t="str">
        <f>"叶卓辉"</f>
        <v>叶卓辉</v>
      </c>
      <c r="E37" s="5" t="str">
        <f>"男"</f>
        <v>男</v>
      </c>
      <c r="F37" s="5" t="str">
        <f t="shared" si="5"/>
        <v>汉族</v>
      </c>
    </row>
    <row r="38" ht="30" customHeight="1" spans="1:6">
      <c r="A38" s="5">
        <v>36</v>
      </c>
      <c r="B38" s="5" t="str">
        <f>"36412022010511310883460"</f>
        <v>36412022010511310883460</v>
      </c>
      <c r="C38" s="5" t="s">
        <v>7</v>
      </c>
      <c r="D38" s="5" t="str">
        <f>"任喜芊"</f>
        <v>任喜芊</v>
      </c>
      <c r="E38" s="5" t="str">
        <f t="shared" ref="E38:E72" si="6">"女"</f>
        <v>女</v>
      </c>
      <c r="F38" s="5" t="str">
        <f t="shared" si="5"/>
        <v>汉族</v>
      </c>
    </row>
    <row r="39" ht="30" customHeight="1" spans="1:6">
      <c r="A39" s="5">
        <v>37</v>
      </c>
      <c r="B39" s="5" t="str">
        <f>"36412022010516474585027"</f>
        <v>36412022010516474585027</v>
      </c>
      <c r="C39" s="5" t="s">
        <v>7</v>
      </c>
      <c r="D39" s="5" t="str">
        <f>"冯桔蕾"</f>
        <v>冯桔蕾</v>
      </c>
      <c r="E39" s="5" t="str">
        <f t="shared" si="6"/>
        <v>女</v>
      </c>
      <c r="F39" s="5" t="str">
        <f t="shared" si="5"/>
        <v>汉族</v>
      </c>
    </row>
    <row r="40" ht="30" customHeight="1" spans="1:6">
      <c r="A40" s="5">
        <v>38</v>
      </c>
      <c r="B40" s="5" t="str">
        <f>"36412022010517320985244"</f>
        <v>36412022010517320985244</v>
      </c>
      <c r="C40" s="5" t="s">
        <v>7</v>
      </c>
      <c r="D40" s="5" t="str">
        <f>"石淑芬"</f>
        <v>石淑芬</v>
      </c>
      <c r="E40" s="5" t="str">
        <f t="shared" si="6"/>
        <v>女</v>
      </c>
      <c r="F40" s="5" t="str">
        <f t="shared" si="5"/>
        <v>汉族</v>
      </c>
    </row>
    <row r="41" ht="30" customHeight="1" spans="1:6">
      <c r="A41" s="5">
        <v>39</v>
      </c>
      <c r="B41" s="5" t="str">
        <f>"36412022010517493485316"</f>
        <v>36412022010517493485316</v>
      </c>
      <c r="C41" s="5" t="s">
        <v>7</v>
      </c>
      <c r="D41" s="5" t="str">
        <f>"周艳玲"</f>
        <v>周艳玲</v>
      </c>
      <c r="E41" s="5" t="str">
        <f t="shared" si="6"/>
        <v>女</v>
      </c>
      <c r="F41" s="5" t="str">
        <f t="shared" si="5"/>
        <v>汉族</v>
      </c>
    </row>
    <row r="42" ht="30" customHeight="1" spans="1:6">
      <c r="A42" s="5">
        <v>40</v>
      </c>
      <c r="B42" s="5" t="str">
        <f>"36412022010521413186288"</f>
        <v>36412022010521413186288</v>
      </c>
      <c r="C42" s="5" t="s">
        <v>7</v>
      </c>
      <c r="D42" s="5" t="str">
        <f>"王婷"</f>
        <v>王婷</v>
      </c>
      <c r="E42" s="5" t="str">
        <f t="shared" si="6"/>
        <v>女</v>
      </c>
      <c r="F42" s="5" t="str">
        <f t="shared" si="5"/>
        <v>汉族</v>
      </c>
    </row>
    <row r="43" ht="30" customHeight="1" spans="1:6">
      <c r="A43" s="5">
        <v>41</v>
      </c>
      <c r="B43" s="5" t="str">
        <f>"36412022010521460386310"</f>
        <v>36412022010521460386310</v>
      </c>
      <c r="C43" s="5" t="s">
        <v>7</v>
      </c>
      <c r="D43" s="5" t="str">
        <f>"陈慧卿"</f>
        <v>陈慧卿</v>
      </c>
      <c r="E43" s="5" t="str">
        <f t="shared" si="6"/>
        <v>女</v>
      </c>
      <c r="F43" s="5" t="str">
        <f t="shared" si="5"/>
        <v>汉族</v>
      </c>
    </row>
    <row r="44" ht="30" customHeight="1" spans="1:6">
      <c r="A44" s="5">
        <v>42</v>
      </c>
      <c r="B44" s="5" t="str">
        <f>"36412022010522173786435"</f>
        <v>36412022010522173786435</v>
      </c>
      <c r="C44" s="5" t="s">
        <v>7</v>
      </c>
      <c r="D44" s="5" t="str">
        <f>"王惠"</f>
        <v>王惠</v>
      </c>
      <c r="E44" s="5" t="str">
        <f t="shared" si="6"/>
        <v>女</v>
      </c>
      <c r="F44" s="5" t="str">
        <f t="shared" si="5"/>
        <v>汉族</v>
      </c>
    </row>
    <row r="45" ht="30" customHeight="1" spans="1:6">
      <c r="A45" s="5">
        <v>43</v>
      </c>
      <c r="B45" s="5" t="str">
        <f>"36412022010522271886480"</f>
        <v>36412022010522271886480</v>
      </c>
      <c r="C45" s="5" t="s">
        <v>7</v>
      </c>
      <c r="D45" s="5" t="str">
        <f>"郑帝娥"</f>
        <v>郑帝娥</v>
      </c>
      <c r="E45" s="5" t="str">
        <f t="shared" si="6"/>
        <v>女</v>
      </c>
      <c r="F45" s="5" t="str">
        <f t="shared" si="5"/>
        <v>汉族</v>
      </c>
    </row>
    <row r="46" ht="30" customHeight="1" spans="1:6">
      <c r="A46" s="5">
        <v>44</v>
      </c>
      <c r="B46" s="5" t="str">
        <f>"36412022010522525386564"</f>
        <v>36412022010522525386564</v>
      </c>
      <c r="C46" s="5" t="s">
        <v>7</v>
      </c>
      <c r="D46" s="5" t="str">
        <f>"梁乾英"</f>
        <v>梁乾英</v>
      </c>
      <c r="E46" s="5" t="str">
        <f t="shared" si="6"/>
        <v>女</v>
      </c>
      <c r="F46" s="5" t="str">
        <f t="shared" si="5"/>
        <v>汉族</v>
      </c>
    </row>
    <row r="47" ht="30" customHeight="1" spans="1:6">
      <c r="A47" s="5">
        <v>45</v>
      </c>
      <c r="B47" s="5" t="str">
        <f>"36412022010609135386994"</f>
        <v>36412022010609135386994</v>
      </c>
      <c r="C47" s="5" t="s">
        <v>7</v>
      </c>
      <c r="D47" s="5" t="str">
        <f>"陈红艳"</f>
        <v>陈红艳</v>
      </c>
      <c r="E47" s="5" t="str">
        <f t="shared" si="6"/>
        <v>女</v>
      </c>
      <c r="F47" s="5" t="str">
        <f t="shared" si="5"/>
        <v>汉族</v>
      </c>
    </row>
    <row r="48" ht="30" customHeight="1" spans="1:6">
      <c r="A48" s="5">
        <v>46</v>
      </c>
      <c r="B48" s="5" t="str">
        <f>"36412022010609385487115"</f>
        <v>36412022010609385487115</v>
      </c>
      <c r="C48" s="5" t="s">
        <v>7</v>
      </c>
      <c r="D48" s="5" t="str">
        <f>"唐空 "</f>
        <v>唐空 </v>
      </c>
      <c r="E48" s="5" t="str">
        <f t="shared" si="6"/>
        <v>女</v>
      </c>
      <c r="F48" s="5" t="str">
        <f>"黎族"</f>
        <v>黎族</v>
      </c>
    </row>
    <row r="49" ht="30" customHeight="1" spans="1:6">
      <c r="A49" s="5">
        <v>47</v>
      </c>
      <c r="B49" s="5" t="str">
        <f>"36412022010610021687220"</f>
        <v>36412022010610021687220</v>
      </c>
      <c r="C49" s="5" t="s">
        <v>7</v>
      </c>
      <c r="D49" s="5" t="str">
        <f>"苏丽丽"</f>
        <v>苏丽丽</v>
      </c>
      <c r="E49" s="5" t="str">
        <f t="shared" si="6"/>
        <v>女</v>
      </c>
      <c r="F49" s="5" t="str">
        <f>"汉族"</f>
        <v>汉族</v>
      </c>
    </row>
    <row r="50" ht="30" customHeight="1" spans="1:6">
      <c r="A50" s="5">
        <v>48</v>
      </c>
      <c r="B50" s="5" t="str">
        <f>"36412022010617283289135"</f>
        <v>36412022010617283289135</v>
      </c>
      <c r="C50" s="5" t="s">
        <v>7</v>
      </c>
      <c r="D50" s="5" t="str">
        <f>"李小琴"</f>
        <v>李小琴</v>
      </c>
      <c r="E50" s="5" t="str">
        <f t="shared" si="6"/>
        <v>女</v>
      </c>
      <c r="F50" s="5" t="str">
        <f>"汉族"</f>
        <v>汉族</v>
      </c>
    </row>
    <row r="51" ht="30" customHeight="1" spans="1:6">
      <c r="A51" s="5">
        <v>49</v>
      </c>
      <c r="B51" s="5" t="str">
        <f>"36412022010620223489716"</f>
        <v>36412022010620223489716</v>
      </c>
      <c r="C51" s="5" t="s">
        <v>7</v>
      </c>
      <c r="D51" s="5" t="str">
        <f>"杜雪"</f>
        <v>杜雪</v>
      </c>
      <c r="E51" s="5" t="str">
        <f t="shared" si="6"/>
        <v>女</v>
      </c>
      <c r="F51" s="5" t="str">
        <f>"满族"</f>
        <v>满族</v>
      </c>
    </row>
    <row r="52" ht="30" customHeight="1" spans="1:6">
      <c r="A52" s="5">
        <v>50</v>
      </c>
      <c r="B52" s="5" t="str">
        <f>"36412022010621285089947"</f>
        <v>36412022010621285089947</v>
      </c>
      <c r="C52" s="5" t="s">
        <v>7</v>
      </c>
      <c r="D52" s="5" t="str">
        <f>"赵荣花"</f>
        <v>赵荣花</v>
      </c>
      <c r="E52" s="5" t="str">
        <f t="shared" si="6"/>
        <v>女</v>
      </c>
      <c r="F52" s="5" t="str">
        <f t="shared" ref="F52:F57" si="7">"汉族"</f>
        <v>汉族</v>
      </c>
    </row>
    <row r="53" ht="30" customHeight="1" spans="1:6">
      <c r="A53" s="5">
        <v>51</v>
      </c>
      <c r="B53" s="5" t="str">
        <f>"36412022010622420590188"</f>
        <v>36412022010622420590188</v>
      </c>
      <c r="C53" s="5" t="s">
        <v>7</v>
      </c>
      <c r="D53" s="5" t="str">
        <f>"刘俊怡"</f>
        <v>刘俊怡</v>
      </c>
      <c r="E53" s="5" t="str">
        <f t="shared" si="6"/>
        <v>女</v>
      </c>
      <c r="F53" s="5" t="str">
        <f t="shared" si="7"/>
        <v>汉族</v>
      </c>
    </row>
    <row r="54" ht="30" customHeight="1" spans="1:6">
      <c r="A54" s="5">
        <v>52</v>
      </c>
      <c r="B54" s="5" t="str">
        <f>"36412022010623552390368"</f>
        <v>36412022010623552390368</v>
      </c>
      <c r="C54" s="5" t="s">
        <v>7</v>
      </c>
      <c r="D54" s="5" t="str">
        <f>"程飒飒"</f>
        <v>程飒飒</v>
      </c>
      <c r="E54" s="5" t="str">
        <f t="shared" si="6"/>
        <v>女</v>
      </c>
      <c r="F54" s="5" t="str">
        <f t="shared" si="7"/>
        <v>汉族</v>
      </c>
    </row>
    <row r="55" ht="30" customHeight="1" spans="1:6">
      <c r="A55" s="5">
        <v>53</v>
      </c>
      <c r="B55" s="5" t="str">
        <f>"36412022010709440990720"</f>
        <v>36412022010709440990720</v>
      </c>
      <c r="C55" s="5" t="s">
        <v>7</v>
      </c>
      <c r="D55" s="5" t="str">
        <f>"范珊珊"</f>
        <v>范珊珊</v>
      </c>
      <c r="E55" s="5" t="str">
        <f t="shared" si="6"/>
        <v>女</v>
      </c>
      <c r="F55" s="5" t="str">
        <f t="shared" si="7"/>
        <v>汉族</v>
      </c>
    </row>
    <row r="56" ht="30" customHeight="1" spans="1:6">
      <c r="A56" s="5">
        <v>54</v>
      </c>
      <c r="B56" s="5" t="str">
        <f>"36412022010710231890869"</f>
        <v>36412022010710231890869</v>
      </c>
      <c r="C56" s="5" t="s">
        <v>7</v>
      </c>
      <c r="D56" s="5" t="str">
        <f>"魏妍怡"</f>
        <v>魏妍怡</v>
      </c>
      <c r="E56" s="5" t="str">
        <f t="shared" si="6"/>
        <v>女</v>
      </c>
      <c r="F56" s="5" t="str">
        <f t="shared" si="7"/>
        <v>汉族</v>
      </c>
    </row>
    <row r="57" ht="30" customHeight="1" spans="1:6">
      <c r="A57" s="5">
        <v>55</v>
      </c>
      <c r="B57" s="5" t="str">
        <f>"36412022010717015192335"</f>
        <v>36412022010717015192335</v>
      </c>
      <c r="C57" s="5" t="s">
        <v>7</v>
      </c>
      <c r="D57" s="5" t="str">
        <f>"谢文妃"</f>
        <v>谢文妃</v>
      </c>
      <c r="E57" s="5" t="str">
        <f t="shared" si="6"/>
        <v>女</v>
      </c>
      <c r="F57" s="5" t="str">
        <f t="shared" si="7"/>
        <v>汉族</v>
      </c>
    </row>
    <row r="58" ht="30" customHeight="1" spans="1:6">
      <c r="A58" s="5">
        <v>56</v>
      </c>
      <c r="B58" s="5" t="str">
        <f>"36412022010717502192461"</f>
        <v>36412022010717502192461</v>
      </c>
      <c r="C58" s="5" t="s">
        <v>7</v>
      </c>
      <c r="D58" s="5" t="str">
        <f>"李文洁"</f>
        <v>李文洁</v>
      </c>
      <c r="E58" s="5" t="str">
        <f t="shared" si="6"/>
        <v>女</v>
      </c>
      <c r="F58" s="5" t="str">
        <f>"黎族"</f>
        <v>黎族</v>
      </c>
    </row>
    <row r="59" ht="30" customHeight="1" spans="1:6">
      <c r="A59" s="5">
        <v>57</v>
      </c>
      <c r="B59" s="5" t="str">
        <f>"36412022010810450593237"</f>
        <v>36412022010810450593237</v>
      </c>
      <c r="C59" s="5" t="s">
        <v>7</v>
      </c>
      <c r="D59" s="5" t="str">
        <f>"唐倩倩"</f>
        <v>唐倩倩</v>
      </c>
      <c r="E59" s="5" t="str">
        <f t="shared" si="6"/>
        <v>女</v>
      </c>
      <c r="F59" s="5" t="str">
        <f>"汉族"</f>
        <v>汉族</v>
      </c>
    </row>
    <row r="60" ht="30" customHeight="1" spans="1:6">
      <c r="A60" s="5">
        <v>58</v>
      </c>
      <c r="B60" s="5" t="str">
        <f>"36412022010811562193334"</f>
        <v>36412022010811562193334</v>
      </c>
      <c r="C60" s="5" t="s">
        <v>7</v>
      </c>
      <c r="D60" s="5" t="str">
        <f>"唐梦茜"</f>
        <v>唐梦茜</v>
      </c>
      <c r="E60" s="5" t="str">
        <f t="shared" si="6"/>
        <v>女</v>
      </c>
      <c r="F60" s="5" t="str">
        <f>"汉族"</f>
        <v>汉族</v>
      </c>
    </row>
    <row r="61" ht="30" customHeight="1" spans="1:6">
      <c r="A61" s="5">
        <v>59</v>
      </c>
      <c r="B61" s="5" t="str">
        <f>"36412022010813334593456"</f>
        <v>36412022010813334593456</v>
      </c>
      <c r="C61" s="5" t="s">
        <v>7</v>
      </c>
      <c r="D61" s="5" t="str">
        <f>"林小丽"</f>
        <v>林小丽</v>
      </c>
      <c r="E61" s="5" t="str">
        <f t="shared" si="6"/>
        <v>女</v>
      </c>
      <c r="F61" s="5" t="str">
        <f>"汉族"</f>
        <v>汉族</v>
      </c>
    </row>
    <row r="62" ht="30" customHeight="1" spans="1:6">
      <c r="A62" s="5">
        <v>60</v>
      </c>
      <c r="B62" s="5" t="str">
        <f>"36412022010815485393656"</f>
        <v>36412022010815485393656</v>
      </c>
      <c r="C62" s="5" t="s">
        <v>7</v>
      </c>
      <c r="D62" s="5" t="str">
        <f>"陈全庆"</f>
        <v>陈全庆</v>
      </c>
      <c r="E62" s="5" t="str">
        <f t="shared" si="6"/>
        <v>女</v>
      </c>
      <c r="F62" s="5" t="str">
        <f>"汉族"</f>
        <v>汉族</v>
      </c>
    </row>
    <row r="63" ht="30" customHeight="1" spans="1:6">
      <c r="A63" s="5">
        <v>61</v>
      </c>
      <c r="B63" s="5" t="str">
        <f>"36412022010816110393695"</f>
        <v>36412022010816110393695</v>
      </c>
      <c r="C63" s="5" t="s">
        <v>7</v>
      </c>
      <c r="D63" s="5" t="str">
        <f>"钟水仙"</f>
        <v>钟水仙</v>
      </c>
      <c r="E63" s="5" t="str">
        <f t="shared" si="6"/>
        <v>女</v>
      </c>
      <c r="F63" s="5" t="str">
        <f>"黎族"</f>
        <v>黎族</v>
      </c>
    </row>
    <row r="64" ht="30" customHeight="1" spans="1:6">
      <c r="A64" s="5">
        <v>62</v>
      </c>
      <c r="B64" s="5" t="str">
        <f>"36412022010817003593782"</f>
        <v>36412022010817003593782</v>
      </c>
      <c r="C64" s="5" t="s">
        <v>7</v>
      </c>
      <c r="D64" s="5" t="str">
        <f>"赵日绵"</f>
        <v>赵日绵</v>
      </c>
      <c r="E64" s="5" t="str">
        <f t="shared" si="6"/>
        <v>女</v>
      </c>
      <c r="F64" s="5" t="str">
        <f t="shared" ref="F64:F85" si="8">"汉族"</f>
        <v>汉族</v>
      </c>
    </row>
    <row r="65" ht="30" customHeight="1" spans="1:6">
      <c r="A65" s="5">
        <v>63</v>
      </c>
      <c r="B65" s="5" t="str">
        <f>"36412022010817465793860"</f>
        <v>36412022010817465793860</v>
      </c>
      <c r="C65" s="5" t="s">
        <v>7</v>
      </c>
      <c r="D65" s="5" t="str">
        <f>"苏海媚"</f>
        <v>苏海媚</v>
      </c>
      <c r="E65" s="5" t="str">
        <f t="shared" si="6"/>
        <v>女</v>
      </c>
      <c r="F65" s="5" t="str">
        <f t="shared" si="8"/>
        <v>汉族</v>
      </c>
    </row>
    <row r="66" ht="30" customHeight="1" spans="1:6">
      <c r="A66" s="5">
        <v>64</v>
      </c>
      <c r="B66" s="5" t="str">
        <f>"36412022010912204595070"</f>
        <v>36412022010912204595070</v>
      </c>
      <c r="C66" s="5" t="s">
        <v>7</v>
      </c>
      <c r="D66" s="5" t="str">
        <f>"林贵月"</f>
        <v>林贵月</v>
      </c>
      <c r="E66" s="5" t="str">
        <f t="shared" si="6"/>
        <v>女</v>
      </c>
      <c r="F66" s="5" t="str">
        <f t="shared" si="8"/>
        <v>汉族</v>
      </c>
    </row>
    <row r="67" ht="30" customHeight="1" spans="1:6">
      <c r="A67" s="5">
        <v>65</v>
      </c>
      <c r="B67" s="5" t="str">
        <f>"36412022010915523995505"</f>
        <v>36412022010915523995505</v>
      </c>
      <c r="C67" s="5" t="s">
        <v>7</v>
      </c>
      <c r="D67" s="5" t="str">
        <f>"林丽洁"</f>
        <v>林丽洁</v>
      </c>
      <c r="E67" s="5" t="str">
        <f t="shared" si="6"/>
        <v>女</v>
      </c>
      <c r="F67" s="5" t="str">
        <f t="shared" si="8"/>
        <v>汉族</v>
      </c>
    </row>
    <row r="68" ht="30" customHeight="1" spans="1:6">
      <c r="A68" s="5">
        <v>66</v>
      </c>
      <c r="B68" s="5" t="str">
        <f>"36412022010917284595685"</f>
        <v>36412022010917284595685</v>
      </c>
      <c r="C68" s="5" t="s">
        <v>7</v>
      </c>
      <c r="D68" s="5" t="str">
        <f>"李袁晨馨"</f>
        <v>李袁晨馨</v>
      </c>
      <c r="E68" s="5" t="str">
        <f t="shared" si="6"/>
        <v>女</v>
      </c>
      <c r="F68" s="5" t="str">
        <f t="shared" si="8"/>
        <v>汉族</v>
      </c>
    </row>
    <row r="69" ht="30" customHeight="1" spans="1:6">
      <c r="A69" s="5">
        <v>67</v>
      </c>
      <c r="B69" s="5" t="str">
        <f>"36412022010918594095777"</f>
        <v>36412022010918594095777</v>
      </c>
      <c r="C69" s="5" t="s">
        <v>7</v>
      </c>
      <c r="D69" s="5" t="str">
        <f>"邢欣"</f>
        <v>邢欣</v>
      </c>
      <c r="E69" s="5" t="str">
        <f t="shared" si="6"/>
        <v>女</v>
      </c>
      <c r="F69" s="5" t="str">
        <f t="shared" si="8"/>
        <v>汉族</v>
      </c>
    </row>
    <row r="70" ht="30" customHeight="1" spans="1:6">
      <c r="A70" s="5">
        <v>68</v>
      </c>
      <c r="B70" s="5" t="str">
        <f>"36412022010919561295848"</f>
        <v>36412022010919561295848</v>
      </c>
      <c r="C70" s="5" t="s">
        <v>7</v>
      </c>
      <c r="D70" s="5" t="str">
        <f>"林造芳"</f>
        <v>林造芳</v>
      </c>
      <c r="E70" s="5" t="str">
        <f t="shared" si="6"/>
        <v>女</v>
      </c>
      <c r="F70" s="5" t="str">
        <f t="shared" si="8"/>
        <v>汉族</v>
      </c>
    </row>
    <row r="71" ht="30" customHeight="1" spans="1:6">
      <c r="A71" s="5">
        <v>69</v>
      </c>
      <c r="B71" s="5" t="str">
        <f>"36412022010920114595881"</f>
        <v>36412022010920114595881</v>
      </c>
      <c r="C71" s="5" t="s">
        <v>7</v>
      </c>
      <c r="D71" s="5" t="str">
        <f>"郑容乔"</f>
        <v>郑容乔</v>
      </c>
      <c r="E71" s="5" t="str">
        <f t="shared" si="6"/>
        <v>女</v>
      </c>
      <c r="F71" s="5" t="str">
        <f t="shared" si="8"/>
        <v>汉族</v>
      </c>
    </row>
    <row r="72" ht="30" customHeight="1" spans="1:6">
      <c r="A72" s="5">
        <v>70</v>
      </c>
      <c r="B72" s="5" t="str">
        <f>"36412022010920312795913"</f>
        <v>36412022010920312795913</v>
      </c>
      <c r="C72" s="5" t="s">
        <v>7</v>
      </c>
      <c r="D72" s="5" t="str">
        <f>"谢金花"</f>
        <v>谢金花</v>
      </c>
      <c r="E72" s="5" t="str">
        <f t="shared" si="6"/>
        <v>女</v>
      </c>
      <c r="F72" s="5" t="str">
        <f t="shared" si="8"/>
        <v>汉族</v>
      </c>
    </row>
    <row r="73" ht="30" customHeight="1" spans="1:6">
      <c r="A73" s="5">
        <v>71</v>
      </c>
      <c r="B73" s="5" t="str">
        <f>"36412022010920551595959"</f>
        <v>36412022010920551595959</v>
      </c>
      <c r="C73" s="5" t="s">
        <v>7</v>
      </c>
      <c r="D73" s="5" t="str">
        <f>"李瑞东"</f>
        <v>李瑞东</v>
      </c>
      <c r="E73" s="5" t="str">
        <f>"男"</f>
        <v>男</v>
      </c>
      <c r="F73" s="5" t="str">
        <f t="shared" si="8"/>
        <v>汉族</v>
      </c>
    </row>
    <row r="74" ht="30" customHeight="1" spans="1:6">
      <c r="A74" s="5">
        <v>72</v>
      </c>
      <c r="B74" s="5" t="str">
        <f>"36412022010921134495990"</f>
        <v>36412022010921134495990</v>
      </c>
      <c r="C74" s="5" t="s">
        <v>7</v>
      </c>
      <c r="D74" s="5" t="str">
        <f>"范媛媛"</f>
        <v>范媛媛</v>
      </c>
      <c r="E74" s="5" t="str">
        <f t="shared" ref="E74:E83" si="9">"女"</f>
        <v>女</v>
      </c>
      <c r="F74" s="5" t="str">
        <f t="shared" si="8"/>
        <v>汉族</v>
      </c>
    </row>
    <row r="75" ht="30" customHeight="1" spans="1:6">
      <c r="A75" s="5">
        <v>73</v>
      </c>
      <c r="B75" s="5" t="str">
        <f>"36412022010921454496056"</f>
        <v>36412022010921454496056</v>
      </c>
      <c r="C75" s="5" t="s">
        <v>7</v>
      </c>
      <c r="D75" s="5" t="str">
        <f>"王妍人"</f>
        <v>王妍人</v>
      </c>
      <c r="E75" s="5" t="str">
        <f t="shared" si="9"/>
        <v>女</v>
      </c>
      <c r="F75" s="5" t="str">
        <f t="shared" si="8"/>
        <v>汉族</v>
      </c>
    </row>
    <row r="76" ht="30" customHeight="1" spans="1:6">
      <c r="A76" s="5">
        <v>74</v>
      </c>
      <c r="B76" s="5" t="str">
        <f>"36412022010921462596058"</f>
        <v>36412022010921462596058</v>
      </c>
      <c r="C76" s="5" t="s">
        <v>7</v>
      </c>
      <c r="D76" s="5" t="str">
        <f>"陈秋月"</f>
        <v>陈秋月</v>
      </c>
      <c r="E76" s="5" t="str">
        <f t="shared" si="9"/>
        <v>女</v>
      </c>
      <c r="F76" s="5" t="str">
        <f t="shared" si="8"/>
        <v>汉族</v>
      </c>
    </row>
    <row r="77" ht="30" customHeight="1" spans="1:6">
      <c r="A77" s="5">
        <v>75</v>
      </c>
      <c r="B77" s="5" t="str">
        <f>"36412022010923043096185"</f>
        <v>36412022010923043096185</v>
      </c>
      <c r="C77" s="5" t="s">
        <v>7</v>
      </c>
      <c r="D77" s="5" t="str">
        <f>"傅卫美"</f>
        <v>傅卫美</v>
      </c>
      <c r="E77" s="5" t="str">
        <f t="shared" si="9"/>
        <v>女</v>
      </c>
      <c r="F77" s="5" t="str">
        <f t="shared" si="8"/>
        <v>汉族</v>
      </c>
    </row>
    <row r="78" ht="30" customHeight="1" spans="1:6">
      <c r="A78" s="5">
        <v>76</v>
      </c>
      <c r="B78" s="5" t="str">
        <f>"36412022011000415096279"</f>
        <v>36412022011000415096279</v>
      </c>
      <c r="C78" s="5" t="s">
        <v>7</v>
      </c>
      <c r="D78" s="5" t="str">
        <f>"孙丽莹"</f>
        <v>孙丽莹</v>
      </c>
      <c r="E78" s="5" t="str">
        <f t="shared" si="9"/>
        <v>女</v>
      </c>
      <c r="F78" s="5" t="str">
        <f t="shared" si="8"/>
        <v>汉族</v>
      </c>
    </row>
    <row r="79" ht="30" customHeight="1" spans="1:6">
      <c r="A79" s="5">
        <v>77</v>
      </c>
      <c r="B79" s="5" t="str">
        <f>"36412022011000460996282"</f>
        <v>36412022011000460996282</v>
      </c>
      <c r="C79" s="5" t="s">
        <v>7</v>
      </c>
      <c r="D79" s="5" t="str">
        <f>"周晓红"</f>
        <v>周晓红</v>
      </c>
      <c r="E79" s="5" t="str">
        <f t="shared" si="9"/>
        <v>女</v>
      </c>
      <c r="F79" s="5" t="str">
        <f t="shared" si="8"/>
        <v>汉族</v>
      </c>
    </row>
    <row r="80" ht="30" customHeight="1" spans="1:6">
      <c r="A80" s="5">
        <v>78</v>
      </c>
      <c r="B80" s="5" t="str">
        <f>"36412022011006040196304"</f>
        <v>36412022011006040196304</v>
      </c>
      <c r="C80" s="5" t="s">
        <v>7</v>
      </c>
      <c r="D80" s="5" t="str">
        <f>"范玉玲"</f>
        <v>范玉玲</v>
      </c>
      <c r="E80" s="5" t="str">
        <f t="shared" si="9"/>
        <v>女</v>
      </c>
      <c r="F80" s="5" t="str">
        <f t="shared" si="8"/>
        <v>汉族</v>
      </c>
    </row>
    <row r="81" ht="30" customHeight="1" spans="1:6">
      <c r="A81" s="5">
        <v>79</v>
      </c>
      <c r="B81" s="5" t="str">
        <f>"36412022011008082196341"</f>
        <v>36412022011008082196341</v>
      </c>
      <c r="C81" s="5" t="s">
        <v>7</v>
      </c>
      <c r="D81" s="5" t="str">
        <f>"钟清容"</f>
        <v>钟清容</v>
      </c>
      <c r="E81" s="5" t="str">
        <f t="shared" si="9"/>
        <v>女</v>
      </c>
      <c r="F81" s="5" t="str">
        <f t="shared" si="8"/>
        <v>汉族</v>
      </c>
    </row>
    <row r="82" ht="30" customHeight="1" spans="1:6">
      <c r="A82" s="5">
        <v>80</v>
      </c>
      <c r="B82" s="5" t="str">
        <f>"36412022011008104896344"</f>
        <v>36412022011008104896344</v>
      </c>
      <c r="C82" s="5" t="s">
        <v>7</v>
      </c>
      <c r="D82" s="5" t="str">
        <f>"张莉"</f>
        <v>张莉</v>
      </c>
      <c r="E82" s="5" t="str">
        <f t="shared" si="9"/>
        <v>女</v>
      </c>
      <c r="F82" s="5" t="str">
        <f t="shared" si="8"/>
        <v>汉族</v>
      </c>
    </row>
    <row r="83" ht="30" customHeight="1" spans="1:6">
      <c r="A83" s="5">
        <v>81</v>
      </c>
      <c r="B83" s="5" t="str">
        <f>"36412022011010010796596"</f>
        <v>36412022011010010796596</v>
      </c>
      <c r="C83" s="5" t="s">
        <v>7</v>
      </c>
      <c r="D83" s="5" t="str">
        <f>"王侨源"</f>
        <v>王侨源</v>
      </c>
      <c r="E83" s="5" t="str">
        <f t="shared" si="9"/>
        <v>女</v>
      </c>
      <c r="F83" s="5" t="str">
        <f t="shared" si="8"/>
        <v>汉族</v>
      </c>
    </row>
    <row r="84" ht="30" customHeight="1" spans="1:6">
      <c r="A84" s="5">
        <v>82</v>
      </c>
      <c r="B84" s="5" t="str">
        <f>"36412022011010121796630"</f>
        <v>36412022011010121796630</v>
      </c>
      <c r="C84" s="5" t="s">
        <v>7</v>
      </c>
      <c r="D84" s="5" t="str">
        <f>"蔡於良"</f>
        <v>蔡於良</v>
      </c>
      <c r="E84" s="5" t="str">
        <f>"男"</f>
        <v>男</v>
      </c>
      <c r="F84" s="5" t="str">
        <f t="shared" si="8"/>
        <v>汉族</v>
      </c>
    </row>
    <row r="85" ht="30" customHeight="1" spans="1:6">
      <c r="A85" s="5">
        <v>83</v>
      </c>
      <c r="B85" s="5" t="str">
        <f>"36412022011010592896780"</f>
        <v>36412022011010592896780</v>
      </c>
      <c r="C85" s="5" t="s">
        <v>7</v>
      </c>
      <c r="D85" s="5" t="str">
        <f>"曾绳芳"</f>
        <v>曾绳芳</v>
      </c>
      <c r="E85" s="5" t="str">
        <f>"女"</f>
        <v>女</v>
      </c>
      <c r="F85" s="5" t="str">
        <f t="shared" si="8"/>
        <v>汉族</v>
      </c>
    </row>
    <row r="86" ht="30" customHeight="1" spans="1:6">
      <c r="A86" s="5">
        <v>84</v>
      </c>
      <c r="B86" s="5" t="str">
        <f>"36412021123109451369833"</f>
        <v>36412021123109451369833</v>
      </c>
      <c r="C86" s="5" t="s">
        <v>8</v>
      </c>
      <c r="D86" s="5" t="str">
        <f>"符砚欣"</f>
        <v>符砚欣</v>
      </c>
      <c r="E86" s="5" t="str">
        <f>"女"</f>
        <v>女</v>
      </c>
      <c r="F86" s="5" t="str">
        <f>"黎族"</f>
        <v>黎族</v>
      </c>
    </row>
    <row r="87" ht="30" customHeight="1" spans="1:6">
      <c r="A87" s="5">
        <v>85</v>
      </c>
      <c r="B87" s="5" t="str">
        <f>"36412021123110353970075"</f>
        <v>36412021123110353970075</v>
      </c>
      <c r="C87" s="5" t="s">
        <v>8</v>
      </c>
      <c r="D87" s="5" t="str">
        <f>"洪祥琪"</f>
        <v>洪祥琪</v>
      </c>
      <c r="E87" s="5" t="str">
        <f>"男"</f>
        <v>男</v>
      </c>
      <c r="F87" s="5" t="str">
        <f t="shared" ref="F87:F97" si="10">"汉族"</f>
        <v>汉族</v>
      </c>
    </row>
    <row r="88" ht="30" customHeight="1" spans="1:6">
      <c r="A88" s="5">
        <v>86</v>
      </c>
      <c r="B88" s="5" t="str">
        <f>"36412021123111524970388"</f>
        <v>36412021123111524970388</v>
      </c>
      <c r="C88" s="5" t="s">
        <v>8</v>
      </c>
      <c r="D88" s="5" t="str">
        <f>"吴俊安"</f>
        <v>吴俊安</v>
      </c>
      <c r="E88" s="5" t="str">
        <f>"男"</f>
        <v>男</v>
      </c>
      <c r="F88" s="5" t="str">
        <f t="shared" si="10"/>
        <v>汉族</v>
      </c>
    </row>
    <row r="89" ht="30" customHeight="1" spans="1:6">
      <c r="A89" s="5">
        <v>87</v>
      </c>
      <c r="B89" s="5" t="str">
        <f>"36412021123112333270463"</f>
        <v>36412021123112333270463</v>
      </c>
      <c r="C89" s="5" t="s">
        <v>8</v>
      </c>
      <c r="D89" s="5" t="str">
        <f>"刘雪娟"</f>
        <v>刘雪娟</v>
      </c>
      <c r="E89" s="5" t="str">
        <f>"女"</f>
        <v>女</v>
      </c>
      <c r="F89" s="5" t="str">
        <f t="shared" si="10"/>
        <v>汉族</v>
      </c>
    </row>
    <row r="90" ht="30" customHeight="1" spans="1:6">
      <c r="A90" s="5">
        <v>88</v>
      </c>
      <c r="B90" s="5" t="str">
        <f>"36412021123114103470683"</f>
        <v>36412021123114103470683</v>
      </c>
      <c r="C90" s="5" t="s">
        <v>8</v>
      </c>
      <c r="D90" s="5" t="str">
        <f>"廖蒙"</f>
        <v>廖蒙</v>
      </c>
      <c r="E90" s="5" t="str">
        <f>"女"</f>
        <v>女</v>
      </c>
      <c r="F90" s="5" t="str">
        <f t="shared" si="10"/>
        <v>汉族</v>
      </c>
    </row>
    <row r="91" ht="30" customHeight="1" spans="1:6">
      <c r="A91" s="5">
        <v>89</v>
      </c>
      <c r="B91" s="5" t="str">
        <f>"36412021123115144070851"</f>
        <v>36412021123115144070851</v>
      </c>
      <c r="C91" s="5" t="s">
        <v>8</v>
      </c>
      <c r="D91" s="5" t="str">
        <f>"黄晖"</f>
        <v>黄晖</v>
      </c>
      <c r="E91" s="5" t="str">
        <f>"女"</f>
        <v>女</v>
      </c>
      <c r="F91" s="5" t="str">
        <f t="shared" si="10"/>
        <v>汉族</v>
      </c>
    </row>
    <row r="92" ht="30" customHeight="1" spans="1:6">
      <c r="A92" s="5">
        <v>90</v>
      </c>
      <c r="B92" s="5" t="str">
        <f>"36412021123115463370933"</f>
        <v>36412021123115463370933</v>
      </c>
      <c r="C92" s="5" t="s">
        <v>8</v>
      </c>
      <c r="D92" s="5" t="str">
        <f>"付连连"</f>
        <v>付连连</v>
      </c>
      <c r="E92" s="5" t="str">
        <f>"男"</f>
        <v>男</v>
      </c>
      <c r="F92" s="5" t="str">
        <f t="shared" si="10"/>
        <v>汉族</v>
      </c>
    </row>
    <row r="93" ht="30" customHeight="1" spans="1:6">
      <c r="A93" s="5">
        <v>91</v>
      </c>
      <c r="B93" s="5" t="str">
        <f>"36412022010117060072010"</f>
        <v>36412022010117060072010</v>
      </c>
      <c r="C93" s="5" t="s">
        <v>8</v>
      </c>
      <c r="D93" s="5" t="str">
        <f>"邹霞"</f>
        <v>邹霞</v>
      </c>
      <c r="E93" s="5" t="str">
        <f t="shared" ref="E93:E100" si="11">"女"</f>
        <v>女</v>
      </c>
      <c r="F93" s="5" t="str">
        <f t="shared" si="10"/>
        <v>汉族</v>
      </c>
    </row>
    <row r="94" ht="30" customHeight="1" spans="1:6">
      <c r="A94" s="5">
        <v>92</v>
      </c>
      <c r="B94" s="5" t="str">
        <f>"36412022010122593272348"</f>
        <v>36412022010122593272348</v>
      </c>
      <c r="C94" s="5" t="s">
        <v>8</v>
      </c>
      <c r="D94" s="5" t="str">
        <f>"潘志琴"</f>
        <v>潘志琴</v>
      </c>
      <c r="E94" s="5" t="str">
        <f t="shared" si="11"/>
        <v>女</v>
      </c>
      <c r="F94" s="5" t="str">
        <f t="shared" si="10"/>
        <v>汉族</v>
      </c>
    </row>
    <row r="95" ht="30" customHeight="1" spans="1:6">
      <c r="A95" s="5">
        <v>93</v>
      </c>
      <c r="B95" s="5" t="str">
        <f>"36412022010213444772809"</f>
        <v>36412022010213444772809</v>
      </c>
      <c r="C95" s="5" t="s">
        <v>8</v>
      </c>
      <c r="D95" s="5" t="str">
        <f>"陈永妃"</f>
        <v>陈永妃</v>
      </c>
      <c r="E95" s="5" t="str">
        <f t="shared" si="11"/>
        <v>女</v>
      </c>
      <c r="F95" s="5" t="str">
        <f t="shared" si="10"/>
        <v>汉族</v>
      </c>
    </row>
    <row r="96" ht="30" customHeight="1" spans="1:6">
      <c r="A96" s="5">
        <v>94</v>
      </c>
      <c r="B96" s="5" t="str">
        <f>"36412022010302120273465"</f>
        <v>36412022010302120273465</v>
      </c>
      <c r="C96" s="5" t="s">
        <v>8</v>
      </c>
      <c r="D96" s="5" t="str">
        <f>"邓传慧"</f>
        <v>邓传慧</v>
      </c>
      <c r="E96" s="5" t="str">
        <f t="shared" si="11"/>
        <v>女</v>
      </c>
      <c r="F96" s="5" t="str">
        <f t="shared" si="10"/>
        <v>汉族</v>
      </c>
    </row>
    <row r="97" ht="30" customHeight="1" spans="1:6">
      <c r="A97" s="5">
        <v>95</v>
      </c>
      <c r="B97" s="5" t="str">
        <f>"36412022010311430474519"</f>
        <v>36412022010311430474519</v>
      </c>
      <c r="C97" s="5" t="s">
        <v>8</v>
      </c>
      <c r="D97" s="5" t="str">
        <f>"王燕"</f>
        <v>王燕</v>
      </c>
      <c r="E97" s="5" t="str">
        <f t="shared" si="11"/>
        <v>女</v>
      </c>
      <c r="F97" s="5" t="str">
        <f t="shared" si="10"/>
        <v>汉族</v>
      </c>
    </row>
    <row r="98" ht="30" customHeight="1" spans="1:6">
      <c r="A98" s="5">
        <v>96</v>
      </c>
      <c r="B98" s="5" t="str">
        <f>"36412022010318083275945"</f>
        <v>36412022010318083275945</v>
      </c>
      <c r="C98" s="5" t="s">
        <v>8</v>
      </c>
      <c r="D98" s="5" t="str">
        <f>"林舒月"</f>
        <v>林舒月</v>
      </c>
      <c r="E98" s="5" t="str">
        <f t="shared" si="11"/>
        <v>女</v>
      </c>
      <c r="F98" s="5" t="str">
        <f>"黎族"</f>
        <v>黎族</v>
      </c>
    </row>
    <row r="99" ht="30" customHeight="1" spans="1:6">
      <c r="A99" s="5">
        <v>97</v>
      </c>
      <c r="B99" s="5" t="str">
        <f>"36412022010321595176678"</f>
        <v>36412022010321595176678</v>
      </c>
      <c r="C99" s="5" t="s">
        <v>8</v>
      </c>
      <c r="D99" s="5" t="str">
        <f>"苏泓"</f>
        <v>苏泓</v>
      </c>
      <c r="E99" s="5" t="str">
        <f t="shared" si="11"/>
        <v>女</v>
      </c>
      <c r="F99" s="5" t="str">
        <f t="shared" ref="F99:F107" si="12">"汉族"</f>
        <v>汉族</v>
      </c>
    </row>
    <row r="100" ht="30" customHeight="1" spans="1:6">
      <c r="A100" s="5">
        <v>98</v>
      </c>
      <c r="B100" s="5" t="str">
        <f>"36412022010409300677642"</f>
        <v>36412022010409300677642</v>
      </c>
      <c r="C100" s="5" t="s">
        <v>8</v>
      </c>
      <c r="D100" s="5" t="str">
        <f>"王明玉"</f>
        <v>王明玉</v>
      </c>
      <c r="E100" s="5" t="str">
        <f t="shared" si="11"/>
        <v>女</v>
      </c>
      <c r="F100" s="5" t="str">
        <f t="shared" si="12"/>
        <v>汉族</v>
      </c>
    </row>
    <row r="101" ht="30" customHeight="1" spans="1:6">
      <c r="A101" s="5">
        <v>99</v>
      </c>
      <c r="B101" s="5" t="str">
        <f>"36412022010410461278311"</f>
        <v>36412022010410461278311</v>
      </c>
      <c r="C101" s="5" t="s">
        <v>8</v>
      </c>
      <c r="D101" s="5" t="str">
        <f>"吴全珍"</f>
        <v>吴全珍</v>
      </c>
      <c r="E101" s="5" t="str">
        <f>"男"</f>
        <v>男</v>
      </c>
      <c r="F101" s="5" t="str">
        <f t="shared" si="12"/>
        <v>汉族</v>
      </c>
    </row>
    <row r="102" ht="30" customHeight="1" spans="1:6">
      <c r="A102" s="5">
        <v>100</v>
      </c>
      <c r="B102" s="5" t="str">
        <f>"36412022010411251478656"</f>
        <v>36412022010411251478656</v>
      </c>
      <c r="C102" s="5" t="s">
        <v>8</v>
      </c>
      <c r="D102" s="5" t="str">
        <f>"马俊杰"</f>
        <v>马俊杰</v>
      </c>
      <c r="E102" s="5" t="str">
        <f>"男"</f>
        <v>男</v>
      </c>
      <c r="F102" s="5" t="str">
        <f t="shared" si="12"/>
        <v>汉族</v>
      </c>
    </row>
    <row r="103" ht="30" customHeight="1" spans="1:6">
      <c r="A103" s="5">
        <v>101</v>
      </c>
      <c r="B103" s="5" t="str">
        <f>"36412022010415152179792"</f>
        <v>36412022010415152179792</v>
      </c>
      <c r="C103" s="5" t="s">
        <v>8</v>
      </c>
      <c r="D103" s="5" t="str">
        <f>"武彩"</f>
        <v>武彩</v>
      </c>
      <c r="E103" s="5" t="str">
        <f>"女"</f>
        <v>女</v>
      </c>
      <c r="F103" s="5" t="str">
        <f t="shared" si="12"/>
        <v>汉族</v>
      </c>
    </row>
    <row r="104" ht="30" customHeight="1" spans="1:6">
      <c r="A104" s="5">
        <v>102</v>
      </c>
      <c r="B104" s="5" t="str">
        <f>"36412022010415193679820"</f>
        <v>36412022010415193679820</v>
      </c>
      <c r="C104" s="5" t="s">
        <v>8</v>
      </c>
      <c r="D104" s="5" t="str">
        <f>"程守慧"</f>
        <v>程守慧</v>
      </c>
      <c r="E104" s="5" t="str">
        <f>"女"</f>
        <v>女</v>
      </c>
      <c r="F104" s="5" t="str">
        <f t="shared" si="12"/>
        <v>汉族</v>
      </c>
    </row>
    <row r="105" ht="30" customHeight="1" spans="1:6">
      <c r="A105" s="5">
        <v>103</v>
      </c>
      <c r="B105" s="5" t="str">
        <f>"36412022010417504680672"</f>
        <v>36412022010417504680672</v>
      </c>
      <c r="C105" s="5" t="s">
        <v>8</v>
      </c>
      <c r="D105" s="5" t="str">
        <f>"曾曼曼"</f>
        <v>曾曼曼</v>
      </c>
      <c r="E105" s="5" t="str">
        <f>"女"</f>
        <v>女</v>
      </c>
      <c r="F105" s="5" t="str">
        <f t="shared" si="12"/>
        <v>汉族</v>
      </c>
    </row>
    <row r="106" ht="30" customHeight="1" spans="1:6">
      <c r="A106" s="5">
        <v>104</v>
      </c>
      <c r="B106" s="5" t="str">
        <f>"36412022010508170782387"</f>
        <v>36412022010508170782387</v>
      </c>
      <c r="C106" s="5" t="s">
        <v>8</v>
      </c>
      <c r="D106" s="5" t="str">
        <f>"卢佳宁"</f>
        <v>卢佳宁</v>
      </c>
      <c r="E106" s="5" t="str">
        <f>"女"</f>
        <v>女</v>
      </c>
      <c r="F106" s="5" t="str">
        <f t="shared" si="12"/>
        <v>汉族</v>
      </c>
    </row>
    <row r="107" ht="30" customHeight="1" spans="1:6">
      <c r="A107" s="5">
        <v>105</v>
      </c>
      <c r="B107" s="5" t="str">
        <f>"36412022010511292783450"</f>
        <v>36412022010511292783450</v>
      </c>
      <c r="C107" s="5" t="s">
        <v>8</v>
      </c>
      <c r="D107" s="5" t="str">
        <f>"杨锦桦"</f>
        <v>杨锦桦</v>
      </c>
      <c r="E107" s="5" t="str">
        <f>"男"</f>
        <v>男</v>
      </c>
      <c r="F107" s="5" t="str">
        <f t="shared" si="12"/>
        <v>汉族</v>
      </c>
    </row>
    <row r="108" ht="30" customHeight="1" spans="1:6">
      <c r="A108" s="5">
        <v>106</v>
      </c>
      <c r="B108" s="5" t="str">
        <f>"36412022010515153284524"</f>
        <v>36412022010515153284524</v>
      </c>
      <c r="C108" s="5" t="s">
        <v>8</v>
      </c>
      <c r="D108" s="5" t="str">
        <f>"朱彦颖"</f>
        <v>朱彦颖</v>
      </c>
      <c r="E108" s="5" t="str">
        <f t="shared" ref="E108:E114" si="13">"女"</f>
        <v>女</v>
      </c>
      <c r="F108" s="5" t="str">
        <f>"黎族"</f>
        <v>黎族</v>
      </c>
    </row>
    <row r="109" ht="30" customHeight="1" spans="1:6">
      <c r="A109" s="5">
        <v>107</v>
      </c>
      <c r="B109" s="5" t="str">
        <f>"36412022010515374884672"</f>
        <v>36412022010515374884672</v>
      </c>
      <c r="C109" s="5" t="s">
        <v>8</v>
      </c>
      <c r="D109" s="5" t="str">
        <f>"王姣娟"</f>
        <v>王姣娟</v>
      </c>
      <c r="E109" s="5" t="str">
        <f t="shared" si="13"/>
        <v>女</v>
      </c>
      <c r="F109" s="5" t="str">
        <f t="shared" ref="F109:F117" si="14">"汉族"</f>
        <v>汉族</v>
      </c>
    </row>
    <row r="110" ht="30" customHeight="1" spans="1:6">
      <c r="A110" s="5">
        <v>108</v>
      </c>
      <c r="B110" s="5" t="str">
        <f>"36412022010522185786442"</f>
        <v>36412022010522185786442</v>
      </c>
      <c r="C110" s="5" t="s">
        <v>8</v>
      </c>
      <c r="D110" s="5" t="str">
        <f>"林秀雨"</f>
        <v>林秀雨</v>
      </c>
      <c r="E110" s="5" t="str">
        <f t="shared" si="13"/>
        <v>女</v>
      </c>
      <c r="F110" s="5" t="str">
        <f t="shared" si="14"/>
        <v>汉族</v>
      </c>
    </row>
    <row r="111" ht="30" customHeight="1" spans="1:6">
      <c r="A111" s="5">
        <v>109</v>
      </c>
      <c r="B111" s="5" t="str">
        <f>"36412022010609153487001"</f>
        <v>36412022010609153487001</v>
      </c>
      <c r="C111" s="5" t="s">
        <v>8</v>
      </c>
      <c r="D111" s="5" t="str">
        <f>"苻海俊"</f>
        <v>苻海俊</v>
      </c>
      <c r="E111" s="5" t="str">
        <f t="shared" si="13"/>
        <v>女</v>
      </c>
      <c r="F111" s="5" t="str">
        <f t="shared" si="14"/>
        <v>汉族</v>
      </c>
    </row>
    <row r="112" ht="30" customHeight="1" spans="1:6">
      <c r="A112" s="5">
        <v>110</v>
      </c>
      <c r="B112" s="5" t="str">
        <f>"36412022010617340889151"</f>
        <v>36412022010617340889151</v>
      </c>
      <c r="C112" s="5" t="s">
        <v>8</v>
      </c>
      <c r="D112" s="5" t="str">
        <f>"符丽娟"</f>
        <v>符丽娟</v>
      </c>
      <c r="E112" s="5" t="str">
        <f t="shared" si="13"/>
        <v>女</v>
      </c>
      <c r="F112" s="5" t="str">
        <f t="shared" si="14"/>
        <v>汉族</v>
      </c>
    </row>
    <row r="113" ht="30" customHeight="1" spans="1:6">
      <c r="A113" s="5">
        <v>111</v>
      </c>
      <c r="B113" s="5" t="str">
        <f>"36412022010621490890017"</f>
        <v>36412022010621490890017</v>
      </c>
      <c r="C113" s="5" t="s">
        <v>8</v>
      </c>
      <c r="D113" s="5" t="str">
        <f>"李佳晔"</f>
        <v>李佳晔</v>
      </c>
      <c r="E113" s="5" t="str">
        <f t="shared" si="13"/>
        <v>女</v>
      </c>
      <c r="F113" s="5" t="str">
        <f t="shared" si="14"/>
        <v>汉族</v>
      </c>
    </row>
    <row r="114" ht="30" customHeight="1" spans="1:6">
      <c r="A114" s="5">
        <v>112</v>
      </c>
      <c r="B114" s="5" t="str">
        <f>"36412022010622171090103"</f>
        <v>36412022010622171090103</v>
      </c>
      <c r="C114" s="5" t="s">
        <v>8</v>
      </c>
      <c r="D114" s="5" t="str">
        <f>"刘笑梅"</f>
        <v>刘笑梅</v>
      </c>
      <c r="E114" s="5" t="str">
        <f t="shared" si="13"/>
        <v>女</v>
      </c>
      <c r="F114" s="5" t="str">
        <f t="shared" si="14"/>
        <v>汉族</v>
      </c>
    </row>
    <row r="115" ht="30" customHeight="1" spans="1:6">
      <c r="A115" s="5">
        <v>113</v>
      </c>
      <c r="B115" s="5" t="str">
        <f>"36412022010623142690282"</f>
        <v>36412022010623142690282</v>
      </c>
      <c r="C115" s="5" t="s">
        <v>8</v>
      </c>
      <c r="D115" s="5" t="str">
        <f>"吴源权"</f>
        <v>吴源权</v>
      </c>
      <c r="E115" s="5" t="str">
        <f>"男"</f>
        <v>男</v>
      </c>
      <c r="F115" s="5" t="str">
        <f t="shared" si="14"/>
        <v>汉族</v>
      </c>
    </row>
    <row r="116" ht="30" customHeight="1" spans="1:6">
      <c r="A116" s="5">
        <v>114</v>
      </c>
      <c r="B116" s="5" t="str">
        <f>"36412022010713421791610"</f>
        <v>36412022010713421791610</v>
      </c>
      <c r="C116" s="5" t="s">
        <v>8</v>
      </c>
      <c r="D116" s="5" t="str">
        <f>"张柯"</f>
        <v>张柯</v>
      </c>
      <c r="E116" s="5" t="str">
        <f>"女"</f>
        <v>女</v>
      </c>
      <c r="F116" s="5" t="str">
        <f t="shared" si="14"/>
        <v>汉族</v>
      </c>
    </row>
    <row r="117" ht="30" customHeight="1" spans="1:6">
      <c r="A117" s="5">
        <v>115</v>
      </c>
      <c r="B117" s="5" t="str">
        <f>"36412022010817322493828"</f>
        <v>36412022010817322493828</v>
      </c>
      <c r="C117" s="5" t="s">
        <v>8</v>
      </c>
      <c r="D117" s="5" t="str">
        <f>"房琳琳"</f>
        <v>房琳琳</v>
      </c>
      <c r="E117" s="5" t="str">
        <f>"女"</f>
        <v>女</v>
      </c>
      <c r="F117" s="5" t="str">
        <f t="shared" si="14"/>
        <v>汉族</v>
      </c>
    </row>
    <row r="118" ht="30" customHeight="1" spans="1:6">
      <c r="A118" s="5">
        <v>116</v>
      </c>
      <c r="B118" s="5" t="str">
        <f>"36412022010915461495490"</f>
        <v>36412022010915461495490</v>
      </c>
      <c r="C118" s="5" t="s">
        <v>8</v>
      </c>
      <c r="D118" s="5" t="str">
        <f>"张芸"</f>
        <v>张芸</v>
      </c>
      <c r="E118" s="5" t="str">
        <f>"女"</f>
        <v>女</v>
      </c>
      <c r="F118" s="5" t="str">
        <f>"黎族"</f>
        <v>黎族</v>
      </c>
    </row>
    <row r="119" ht="30" customHeight="1" spans="1:6">
      <c r="A119" s="5">
        <v>117</v>
      </c>
      <c r="B119" s="5" t="str">
        <f>"36412022011008490596382"</f>
        <v>36412022011008490596382</v>
      </c>
      <c r="C119" s="5" t="s">
        <v>8</v>
      </c>
      <c r="D119" s="5" t="str">
        <f>"孙莹"</f>
        <v>孙莹</v>
      </c>
      <c r="E119" s="5" t="str">
        <f>"女"</f>
        <v>女</v>
      </c>
      <c r="F119" s="5" t="str">
        <f t="shared" ref="F119:F127" si="15">"汉族"</f>
        <v>汉族</v>
      </c>
    </row>
    <row r="120" ht="30" customHeight="1" spans="1:6">
      <c r="A120" s="5">
        <v>118</v>
      </c>
      <c r="B120" s="5" t="str">
        <f>"36412021123109052169654"</f>
        <v>36412021123109052169654</v>
      </c>
      <c r="C120" s="5" t="s">
        <v>9</v>
      </c>
      <c r="D120" s="5" t="str">
        <f>"邱家欢"</f>
        <v>邱家欢</v>
      </c>
      <c r="E120" s="5" t="str">
        <f>"男"</f>
        <v>男</v>
      </c>
      <c r="F120" s="5" t="str">
        <f t="shared" si="15"/>
        <v>汉族</v>
      </c>
    </row>
    <row r="121" ht="30" customHeight="1" spans="1:6">
      <c r="A121" s="5">
        <v>119</v>
      </c>
      <c r="B121" s="5" t="str">
        <f>"36412021123109073369669"</f>
        <v>36412021123109073369669</v>
      </c>
      <c r="C121" s="5" t="s">
        <v>9</v>
      </c>
      <c r="D121" s="5" t="str">
        <f>" 邢丹云"</f>
        <v> 邢丹云</v>
      </c>
      <c r="E121" s="5" t="str">
        <f>"女"</f>
        <v>女</v>
      </c>
      <c r="F121" s="5" t="str">
        <f t="shared" si="15"/>
        <v>汉族</v>
      </c>
    </row>
    <row r="122" ht="30" customHeight="1" spans="1:6">
      <c r="A122" s="5">
        <v>120</v>
      </c>
      <c r="B122" s="5" t="str">
        <f>"36412021123109074669671"</f>
        <v>36412021123109074669671</v>
      </c>
      <c r="C122" s="5" t="s">
        <v>9</v>
      </c>
      <c r="D122" s="5" t="str">
        <f>"纪新杨"</f>
        <v>纪新杨</v>
      </c>
      <c r="E122" s="5" t="str">
        <f>"男"</f>
        <v>男</v>
      </c>
      <c r="F122" s="5" t="str">
        <f t="shared" si="15"/>
        <v>汉族</v>
      </c>
    </row>
    <row r="123" ht="30" customHeight="1" spans="1:6">
      <c r="A123" s="5">
        <v>121</v>
      </c>
      <c r="B123" s="5" t="str">
        <f>"36412021123109473569846"</f>
        <v>36412021123109473569846</v>
      </c>
      <c r="C123" s="5" t="s">
        <v>9</v>
      </c>
      <c r="D123" s="5" t="str">
        <f>"符环丹"</f>
        <v>符环丹</v>
      </c>
      <c r="E123" s="5" t="str">
        <f>"女"</f>
        <v>女</v>
      </c>
      <c r="F123" s="5" t="str">
        <f t="shared" si="15"/>
        <v>汉族</v>
      </c>
    </row>
    <row r="124" ht="30" customHeight="1" spans="1:6">
      <c r="A124" s="5">
        <v>122</v>
      </c>
      <c r="B124" s="5" t="str">
        <f>"36412021123109555069881"</f>
        <v>36412021123109555069881</v>
      </c>
      <c r="C124" s="5" t="s">
        <v>9</v>
      </c>
      <c r="D124" s="5" t="str">
        <f>"王家宇"</f>
        <v>王家宇</v>
      </c>
      <c r="E124" s="5" t="str">
        <f>"男"</f>
        <v>男</v>
      </c>
      <c r="F124" s="5" t="str">
        <f t="shared" si="15"/>
        <v>汉族</v>
      </c>
    </row>
    <row r="125" ht="30" customHeight="1" spans="1:6">
      <c r="A125" s="5">
        <v>123</v>
      </c>
      <c r="B125" s="5" t="str">
        <f>"36412021123109575369888"</f>
        <v>36412021123109575369888</v>
      </c>
      <c r="C125" s="5" t="s">
        <v>9</v>
      </c>
      <c r="D125" s="5" t="str">
        <f>"王茜"</f>
        <v>王茜</v>
      </c>
      <c r="E125" s="5" t="str">
        <f>"女"</f>
        <v>女</v>
      </c>
      <c r="F125" s="5" t="str">
        <f t="shared" si="15"/>
        <v>汉族</v>
      </c>
    </row>
    <row r="126" ht="30" customHeight="1" spans="1:6">
      <c r="A126" s="5">
        <v>124</v>
      </c>
      <c r="B126" s="5" t="str">
        <f>"36412021123109582669890"</f>
        <v>36412021123109582669890</v>
      </c>
      <c r="C126" s="5" t="s">
        <v>9</v>
      </c>
      <c r="D126" s="5" t="str">
        <f>"倪胜永"</f>
        <v>倪胜永</v>
      </c>
      <c r="E126" s="5" t="str">
        <f>"男"</f>
        <v>男</v>
      </c>
      <c r="F126" s="5" t="str">
        <f t="shared" si="15"/>
        <v>汉族</v>
      </c>
    </row>
    <row r="127" ht="30" customHeight="1" spans="1:6">
      <c r="A127" s="5">
        <v>125</v>
      </c>
      <c r="B127" s="5" t="str">
        <f>"36412021123110032469920"</f>
        <v>36412021123110032469920</v>
      </c>
      <c r="C127" s="5" t="s">
        <v>9</v>
      </c>
      <c r="D127" s="5" t="str">
        <f>"符吉子"</f>
        <v>符吉子</v>
      </c>
      <c r="E127" s="5" t="str">
        <f>"女"</f>
        <v>女</v>
      </c>
      <c r="F127" s="5" t="str">
        <f t="shared" si="15"/>
        <v>汉族</v>
      </c>
    </row>
    <row r="128" ht="30" customHeight="1" spans="1:6">
      <c r="A128" s="5">
        <v>126</v>
      </c>
      <c r="B128" s="5" t="str">
        <f>"36412021123110232270015"</f>
        <v>36412021123110232270015</v>
      </c>
      <c r="C128" s="5" t="s">
        <v>9</v>
      </c>
      <c r="D128" s="5" t="str">
        <f>"王敬"</f>
        <v>王敬</v>
      </c>
      <c r="E128" s="5" t="str">
        <f>"男"</f>
        <v>男</v>
      </c>
      <c r="F128" s="5" t="str">
        <f>"黎族"</f>
        <v>黎族</v>
      </c>
    </row>
    <row r="129" ht="30" customHeight="1" spans="1:6">
      <c r="A129" s="5">
        <v>127</v>
      </c>
      <c r="B129" s="5" t="str">
        <f>"36412021123110540970162"</f>
        <v>36412021123110540970162</v>
      </c>
      <c r="C129" s="5" t="s">
        <v>9</v>
      </c>
      <c r="D129" s="5" t="str">
        <f>"夏奎"</f>
        <v>夏奎</v>
      </c>
      <c r="E129" s="5" t="str">
        <f>"男"</f>
        <v>男</v>
      </c>
      <c r="F129" s="5" t="str">
        <f>"汉族"</f>
        <v>汉族</v>
      </c>
    </row>
    <row r="130" ht="30" customHeight="1" spans="1:6">
      <c r="A130" s="5">
        <v>128</v>
      </c>
      <c r="B130" s="5" t="str">
        <f>"36412021123110570870179"</f>
        <v>36412021123110570870179</v>
      </c>
      <c r="C130" s="5" t="s">
        <v>9</v>
      </c>
      <c r="D130" s="5" t="str">
        <f>"蔡堂香"</f>
        <v>蔡堂香</v>
      </c>
      <c r="E130" s="5" t="str">
        <f>"女"</f>
        <v>女</v>
      </c>
      <c r="F130" s="5" t="str">
        <f>"汉族"</f>
        <v>汉族</v>
      </c>
    </row>
    <row r="131" ht="30" customHeight="1" spans="1:6">
      <c r="A131" s="5">
        <v>129</v>
      </c>
      <c r="B131" s="5" t="str">
        <f>"36412021123111322170315"</f>
        <v>36412021123111322170315</v>
      </c>
      <c r="C131" s="5" t="s">
        <v>9</v>
      </c>
      <c r="D131" s="5" t="str">
        <f>"杨嵘"</f>
        <v>杨嵘</v>
      </c>
      <c r="E131" s="5" t="str">
        <f>"男"</f>
        <v>男</v>
      </c>
      <c r="F131" s="5" t="str">
        <f>"汉族"</f>
        <v>汉族</v>
      </c>
    </row>
    <row r="132" ht="30" customHeight="1" spans="1:6">
      <c r="A132" s="5">
        <v>130</v>
      </c>
      <c r="B132" s="5" t="str">
        <f>"36412021123113390570625"</f>
        <v>36412021123113390570625</v>
      </c>
      <c r="C132" s="5" t="s">
        <v>9</v>
      </c>
      <c r="D132" s="5" t="str">
        <f>"钟海彬"</f>
        <v>钟海彬</v>
      </c>
      <c r="E132" s="5" t="str">
        <f>"男"</f>
        <v>男</v>
      </c>
      <c r="F132" s="5" t="str">
        <f>"黎族"</f>
        <v>黎族</v>
      </c>
    </row>
    <row r="133" ht="30" customHeight="1" spans="1:6">
      <c r="A133" s="5">
        <v>131</v>
      </c>
      <c r="B133" s="5" t="str">
        <f>"36412021123113571670659"</f>
        <v>36412021123113571670659</v>
      </c>
      <c r="C133" s="5" t="s">
        <v>9</v>
      </c>
      <c r="D133" s="5" t="str">
        <f>"郝丽丽"</f>
        <v>郝丽丽</v>
      </c>
      <c r="E133" s="5" t="str">
        <f>"女"</f>
        <v>女</v>
      </c>
      <c r="F133" s="5" t="str">
        <f t="shared" ref="F133:F138" si="16">"汉族"</f>
        <v>汉族</v>
      </c>
    </row>
    <row r="134" ht="30" customHeight="1" spans="1:6">
      <c r="A134" s="5">
        <v>132</v>
      </c>
      <c r="B134" s="5" t="str">
        <f>"36412021123118215271185"</f>
        <v>36412021123118215271185</v>
      </c>
      <c r="C134" s="5" t="s">
        <v>9</v>
      </c>
      <c r="D134" s="5" t="str">
        <f>"江英英"</f>
        <v>江英英</v>
      </c>
      <c r="E134" s="5" t="str">
        <f>"女"</f>
        <v>女</v>
      </c>
      <c r="F134" s="5" t="str">
        <f t="shared" si="16"/>
        <v>汉族</v>
      </c>
    </row>
    <row r="135" ht="30" customHeight="1" spans="1:6">
      <c r="A135" s="5">
        <v>133</v>
      </c>
      <c r="B135" s="5" t="str">
        <f>"36412021123120513071297"</f>
        <v>36412021123120513071297</v>
      </c>
      <c r="C135" s="5" t="s">
        <v>9</v>
      </c>
      <c r="D135" s="5" t="str">
        <f>"洪小曼"</f>
        <v>洪小曼</v>
      </c>
      <c r="E135" s="5" t="str">
        <f>"女"</f>
        <v>女</v>
      </c>
      <c r="F135" s="5" t="str">
        <f t="shared" si="16"/>
        <v>汉族</v>
      </c>
    </row>
    <row r="136" ht="30" customHeight="1" spans="1:6">
      <c r="A136" s="5">
        <v>134</v>
      </c>
      <c r="B136" s="5" t="str">
        <f>"36412021123121341171331"</f>
        <v>36412021123121341171331</v>
      </c>
      <c r="C136" s="5" t="s">
        <v>9</v>
      </c>
      <c r="D136" s="5" t="str">
        <f>"庄雪芬"</f>
        <v>庄雪芬</v>
      </c>
      <c r="E136" s="5" t="str">
        <f>"女"</f>
        <v>女</v>
      </c>
      <c r="F136" s="5" t="str">
        <f t="shared" si="16"/>
        <v>汉族</v>
      </c>
    </row>
    <row r="137" ht="30" customHeight="1" spans="1:6">
      <c r="A137" s="5">
        <v>135</v>
      </c>
      <c r="B137" s="5" t="str">
        <f>"36412021123122023971345"</f>
        <v>36412021123122023971345</v>
      </c>
      <c r="C137" s="5" t="s">
        <v>9</v>
      </c>
      <c r="D137" s="5" t="str">
        <f>"谢娇蓉"</f>
        <v>谢娇蓉</v>
      </c>
      <c r="E137" s="5" t="str">
        <f>"女"</f>
        <v>女</v>
      </c>
      <c r="F137" s="5" t="str">
        <f t="shared" si="16"/>
        <v>汉族</v>
      </c>
    </row>
    <row r="138" ht="30" customHeight="1" spans="1:6">
      <c r="A138" s="5">
        <v>136</v>
      </c>
      <c r="B138" s="5" t="str">
        <f>"36412022010113501571818"</f>
        <v>36412022010113501571818</v>
      </c>
      <c r="C138" s="5" t="s">
        <v>9</v>
      </c>
      <c r="D138" s="5" t="str">
        <f>"羊儒林"</f>
        <v>羊儒林</v>
      </c>
      <c r="E138" s="5" t="str">
        <f>"男"</f>
        <v>男</v>
      </c>
      <c r="F138" s="5" t="str">
        <f t="shared" si="16"/>
        <v>汉族</v>
      </c>
    </row>
    <row r="139" ht="30" customHeight="1" spans="1:6">
      <c r="A139" s="5">
        <v>137</v>
      </c>
      <c r="B139" s="5" t="str">
        <f>"36412022010122133772305"</f>
        <v>36412022010122133772305</v>
      </c>
      <c r="C139" s="5" t="s">
        <v>9</v>
      </c>
      <c r="D139" s="5" t="str">
        <f>"陈莹"</f>
        <v>陈莹</v>
      </c>
      <c r="E139" s="5" t="str">
        <f>"女"</f>
        <v>女</v>
      </c>
      <c r="F139" s="5" t="str">
        <f>"黎族"</f>
        <v>黎族</v>
      </c>
    </row>
    <row r="140" ht="30" customHeight="1" spans="1:6">
      <c r="A140" s="5">
        <v>138</v>
      </c>
      <c r="B140" s="5" t="str">
        <f>"36412022010200132672385"</f>
        <v>36412022010200132672385</v>
      </c>
      <c r="C140" s="5" t="s">
        <v>9</v>
      </c>
      <c r="D140" s="5" t="str">
        <f>"李静姣"</f>
        <v>李静姣</v>
      </c>
      <c r="E140" s="5" t="str">
        <f>"女"</f>
        <v>女</v>
      </c>
      <c r="F140" s="5" t="str">
        <f t="shared" ref="F140:F150" si="17">"汉族"</f>
        <v>汉族</v>
      </c>
    </row>
    <row r="141" ht="30" customHeight="1" spans="1:6">
      <c r="A141" s="5">
        <v>139</v>
      </c>
      <c r="B141" s="5" t="str">
        <f>"36412022010210495072570"</f>
        <v>36412022010210495072570</v>
      </c>
      <c r="C141" s="5" t="s">
        <v>9</v>
      </c>
      <c r="D141" s="5" t="str">
        <f>"黄萍"</f>
        <v>黄萍</v>
      </c>
      <c r="E141" s="5" t="str">
        <f>"女"</f>
        <v>女</v>
      </c>
      <c r="F141" s="5" t="str">
        <f t="shared" si="17"/>
        <v>汉族</v>
      </c>
    </row>
    <row r="142" ht="30" customHeight="1" spans="1:6">
      <c r="A142" s="5">
        <v>140</v>
      </c>
      <c r="B142" s="5" t="str">
        <f>"36412022010301081873460"</f>
        <v>36412022010301081873460</v>
      </c>
      <c r="C142" s="5" t="s">
        <v>9</v>
      </c>
      <c r="D142" s="5" t="str">
        <f>"许阳润"</f>
        <v>许阳润</v>
      </c>
      <c r="E142" s="5" t="str">
        <f>"男"</f>
        <v>男</v>
      </c>
      <c r="F142" s="5" t="str">
        <f t="shared" si="17"/>
        <v>汉族</v>
      </c>
    </row>
    <row r="143" ht="30" customHeight="1" spans="1:6">
      <c r="A143" s="5">
        <v>141</v>
      </c>
      <c r="B143" s="5" t="str">
        <f>"36412022010309240673765"</f>
        <v>36412022010309240673765</v>
      </c>
      <c r="C143" s="5" t="s">
        <v>9</v>
      </c>
      <c r="D143" s="5" t="str">
        <f>"李茂霞"</f>
        <v>李茂霞</v>
      </c>
      <c r="E143" s="5" t="str">
        <f t="shared" ref="E143:E149" si="18">"女"</f>
        <v>女</v>
      </c>
      <c r="F143" s="5" t="str">
        <f t="shared" si="17"/>
        <v>汉族</v>
      </c>
    </row>
    <row r="144" ht="30" customHeight="1" spans="1:6">
      <c r="A144" s="5">
        <v>142</v>
      </c>
      <c r="B144" s="5" t="str">
        <f>"36412022010311420374506"</f>
        <v>36412022010311420374506</v>
      </c>
      <c r="C144" s="5" t="s">
        <v>9</v>
      </c>
      <c r="D144" s="5" t="str">
        <f>"吴霞梅"</f>
        <v>吴霞梅</v>
      </c>
      <c r="E144" s="5" t="str">
        <f t="shared" si="18"/>
        <v>女</v>
      </c>
      <c r="F144" s="5" t="str">
        <f t="shared" si="17"/>
        <v>汉族</v>
      </c>
    </row>
    <row r="145" ht="30" customHeight="1" spans="1:6">
      <c r="A145" s="5">
        <v>143</v>
      </c>
      <c r="B145" s="5" t="str">
        <f>"36412022010312371074748"</f>
        <v>36412022010312371074748</v>
      </c>
      <c r="C145" s="5" t="s">
        <v>9</v>
      </c>
      <c r="D145" s="5" t="str">
        <f>"庄海良"</f>
        <v>庄海良</v>
      </c>
      <c r="E145" s="5" t="str">
        <f t="shared" si="18"/>
        <v>女</v>
      </c>
      <c r="F145" s="5" t="str">
        <f t="shared" si="17"/>
        <v>汉族</v>
      </c>
    </row>
    <row r="146" ht="30" customHeight="1" spans="1:6">
      <c r="A146" s="5">
        <v>144</v>
      </c>
      <c r="B146" s="5" t="str">
        <f>"36412022010313001974855"</f>
        <v>36412022010313001974855</v>
      </c>
      <c r="C146" s="5" t="s">
        <v>9</v>
      </c>
      <c r="D146" s="5" t="str">
        <f>"张青梅"</f>
        <v>张青梅</v>
      </c>
      <c r="E146" s="5" t="str">
        <f t="shared" si="18"/>
        <v>女</v>
      </c>
      <c r="F146" s="5" t="str">
        <f t="shared" si="17"/>
        <v>汉族</v>
      </c>
    </row>
    <row r="147" ht="30" customHeight="1" spans="1:6">
      <c r="A147" s="5">
        <v>145</v>
      </c>
      <c r="B147" s="5" t="str">
        <f>"36412022010314304175202"</f>
        <v>36412022010314304175202</v>
      </c>
      <c r="C147" s="5" t="s">
        <v>9</v>
      </c>
      <c r="D147" s="5" t="str">
        <f>"麦惠乾"</f>
        <v>麦惠乾</v>
      </c>
      <c r="E147" s="5" t="str">
        <f t="shared" si="18"/>
        <v>女</v>
      </c>
      <c r="F147" s="5" t="str">
        <f t="shared" si="17"/>
        <v>汉族</v>
      </c>
    </row>
    <row r="148" ht="30" customHeight="1" spans="1:6">
      <c r="A148" s="5">
        <v>146</v>
      </c>
      <c r="B148" s="5" t="str">
        <f>"36412022010317591275916"</f>
        <v>36412022010317591275916</v>
      </c>
      <c r="C148" s="5" t="s">
        <v>9</v>
      </c>
      <c r="D148" s="5" t="str">
        <f>"骆华转"</f>
        <v>骆华转</v>
      </c>
      <c r="E148" s="5" t="str">
        <f t="shared" si="18"/>
        <v>女</v>
      </c>
      <c r="F148" s="5" t="str">
        <f t="shared" si="17"/>
        <v>汉族</v>
      </c>
    </row>
    <row r="149" ht="30" customHeight="1" spans="1:6">
      <c r="A149" s="5">
        <v>147</v>
      </c>
      <c r="B149" s="5" t="str">
        <f>"36412022010318153475965"</f>
        <v>36412022010318153475965</v>
      </c>
      <c r="C149" s="5" t="s">
        <v>9</v>
      </c>
      <c r="D149" s="5" t="str">
        <f>"王馨苡"</f>
        <v>王馨苡</v>
      </c>
      <c r="E149" s="5" t="str">
        <f t="shared" si="18"/>
        <v>女</v>
      </c>
      <c r="F149" s="5" t="str">
        <f t="shared" si="17"/>
        <v>汉族</v>
      </c>
    </row>
    <row r="150" ht="30" customHeight="1" spans="1:6">
      <c r="A150" s="5">
        <v>148</v>
      </c>
      <c r="B150" s="5" t="str">
        <f>"36412022010320234976382"</f>
        <v>36412022010320234976382</v>
      </c>
      <c r="C150" s="5" t="s">
        <v>9</v>
      </c>
      <c r="D150" s="5" t="str">
        <f>"唐传良"</f>
        <v>唐传良</v>
      </c>
      <c r="E150" s="5" t="str">
        <f>"男"</f>
        <v>男</v>
      </c>
      <c r="F150" s="5" t="str">
        <f t="shared" si="17"/>
        <v>汉族</v>
      </c>
    </row>
    <row r="151" ht="30" customHeight="1" spans="1:6">
      <c r="A151" s="5">
        <v>149</v>
      </c>
      <c r="B151" s="5" t="str">
        <f>"36412022010320532076473"</f>
        <v>36412022010320532076473</v>
      </c>
      <c r="C151" s="5" t="s">
        <v>9</v>
      </c>
      <c r="D151" s="5" t="str">
        <f>"符章辉"</f>
        <v>符章辉</v>
      </c>
      <c r="E151" s="5" t="str">
        <f>"男"</f>
        <v>男</v>
      </c>
      <c r="F151" s="5" t="str">
        <f>"黎族"</f>
        <v>黎族</v>
      </c>
    </row>
    <row r="152" ht="30" customHeight="1" spans="1:6">
      <c r="A152" s="5">
        <v>150</v>
      </c>
      <c r="B152" s="5" t="str">
        <f>"36412022010321324476597"</f>
        <v>36412022010321324476597</v>
      </c>
      <c r="C152" s="5" t="s">
        <v>9</v>
      </c>
      <c r="D152" s="5" t="str">
        <f>"卢红月"</f>
        <v>卢红月</v>
      </c>
      <c r="E152" s="5" t="str">
        <f t="shared" ref="E152:E159" si="19">"女"</f>
        <v>女</v>
      </c>
      <c r="F152" s="5" t="str">
        <f>"黎族"</f>
        <v>黎族</v>
      </c>
    </row>
    <row r="153" ht="30" customHeight="1" spans="1:6">
      <c r="A153" s="5">
        <v>151</v>
      </c>
      <c r="B153" s="5" t="str">
        <f>"36412022010408283277186"</f>
        <v>36412022010408283277186</v>
      </c>
      <c r="C153" s="5" t="s">
        <v>9</v>
      </c>
      <c r="D153" s="5" t="str">
        <f>"王芳婉"</f>
        <v>王芳婉</v>
      </c>
      <c r="E153" s="5" t="str">
        <f t="shared" si="19"/>
        <v>女</v>
      </c>
      <c r="F153" s="5" t="str">
        <f>"汉族"</f>
        <v>汉族</v>
      </c>
    </row>
    <row r="154" ht="30" customHeight="1" spans="1:6">
      <c r="A154" s="5">
        <v>152</v>
      </c>
      <c r="B154" s="5" t="str">
        <f>"36412022010409150677511"</f>
        <v>36412022010409150677511</v>
      </c>
      <c r="C154" s="5" t="s">
        <v>9</v>
      </c>
      <c r="D154" s="5" t="str">
        <f>"周琳"</f>
        <v>周琳</v>
      </c>
      <c r="E154" s="5" t="str">
        <f t="shared" si="19"/>
        <v>女</v>
      </c>
      <c r="F154" s="5" t="str">
        <f>"汉族"</f>
        <v>汉族</v>
      </c>
    </row>
    <row r="155" ht="30" customHeight="1" spans="1:6">
      <c r="A155" s="5">
        <v>153</v>
      </c>
      <c r="B155" s="5" t="str">
        <f>"36412022010409155377519"</f>
        <v>36412022010409155377519</v>
      </c>
      <c r="C155" s="5" t="s">
        <v>9</v>
      </c>
      <c r="D155" s="5" t="str">
        <f>"邱雪苗"</f>
        <v>邱雪苗</v>
      </c>
      <c r="E155" s="5" t="str">
        <f t="shared" si="19"/>
        <v>女</v>
      </c>
      <c r="F155" s="5" t="str">
        <f>"苗族"</f>
        <v>苗族</v>
      </c>
    </row>
    <row r="156" ht="30" customHeight="1" spans="1:6">
      <c r="A156" s="5">
        <v>154</v>
      </c>
      <c r="B156" s="5" t="str">
        <f>"36412022010409221477580"</f>
        <v>36412022010409221477580</v>
      </c>
      <c r="C156" s="5" t="s">
        <v>9</v>
      </c>
      <c r="D156" s="5" t="str">
        <f>"秦风娟"</f>
        <v>秦风娟</v>
      </c>
      <c r="E156" s="5" t="str">
        <f t="shared" si="19"/>
        <v>女</v>
      </c>
      <c r="F156" s="5" t="str">
        <f t="shared" ref="F156:F170" si="20">"汉族"</f>
        <v>汉族</v>
      </c>
    </row>
    <row r="157" ht="30" customHeight="1" spans="1:6">
      <c r="A157" s="5">
        <v>155</v>
      </c>
      <c r="B157" s="5" t="str">
        <f>"36412022010418251480825"</f>
        <v>36412022010418251480825</v>
      </c>
      <c r="C157" s="5" t="s">
        <v>9</v>
      </c>
      <c r="D157" s="5" t="str">
        <f>"邓静兰"</f>
        <v>邓静兰</v>
      </c>
      <c r="E157" s="5" t="str">
        <f t="shared" si="19"/>
        <v>女</v>
      </c>
      <c r="F157" s="5" t="str">
        <f t="shared" si="20"/>
        <v>汉族</v>
      </c>
    </row>
    <row r="158" ht="30" customHeight="1" spans="1:6">
      <c r="A158" s="5">
        <v>156</v>
      </c>
      <c r="B158" s="5" t="str">
        <f>"36412022010420340881447"</f>
        <v>36412022010420340881447</v>
      </c>
      <c r="C158" s="5" t="s">
        <v>9</v>
      </c>
      <c r="D158" s="5" t="str">
        <f>"陈玉曼"</f>
        <v>陈玉曼</v>
      </c>
      <c r="E158" s="5" t="str">
        <f t="shared" si="19"/>
        <v>女</v>
      </c>
      <c r="F158" s="5" t="str">
        <f t="shared" si="20"/>
        <v>汉族</v>
      </c>
    </row>
    <row r="159" ht="30" customHeight="1" spans="1:6">
      <c r="A159" s="5">
        <v>157</v>
      </c>
      <c r="B159" s="5" t="str">
        <f>"36412022010422304381961"</f>
        <v>36412022010422304381961</v>
      </c>
      <c r="C159" s="5" t="s">
        <v>9</v>
      </c>
      <c r="D159" s="5" t="str">
        <f>"周潮敏"</f>
        <v>周潮敏</v>
      </c>
      <c r="E159" s="5" t="str">
        <f t="shared" si="19"/>
        <v>女</v>
      </c>
      <c r="F159" s="5" t="str">
        <f t="shared" si="20"/>
        <v>汉族</v>
      </c>
    </row>
    <row r="160" ht="30" customHeight="1" spans="1:6">
      <c r="A160" s="5">
        <v>158</v>
      </c>
      <c r="B160" s="5" t="str">
        <f>"36412022010509023982519"</f>
        <v>36412022010509023982519</v>
      </c>
      <c r="C160" s="5" t="s">
        <v>9</v>
      </c>
      <c r="D160" s="5" t="str">
        <f>"虞禄"</f>
        <v>虞禄</v>
      </c>
      <c r="E160" s="5" t="str">
        <f>"男"</f>
        <v>男</v>
      </c>
      <c r="F160" s="5" t="str">
        <f t="shared" si="20"/>
        <v>汉族</v>
      </c>
    </row>
    <row r="161" ht="30" customHeight="1" spans="1:6">
      <c r="A161" s="5">
        <v>159</v>
      </c>
      <c r="B161" s="5" t="str">
        <f>"36412022010511002283271"</f>
        <v>36412022010511002283271</v>
      </c>
      <c r="C161" s="5" t="s">
        <v>9</v>
      </c>
      <c r="D161" s="5" t="str">
        <f>"吴景章"</f>
        <v>吴景章</v>
      </c>
      <c r="E161" s="5" t="str">
        <f>"男"</f>
        <v>男</v>
      </c>
      <c r="F161" s="5" t="str">
        <f t="shared" si="20"/>
        <v>汉族</v>
      </c>
    </row>
    <row r="162" ht="30" customHeight="1" spans="1:6">
      <c r="A162" s="5">
        <v>160</v>
      </c>
      <c r="B162" s="5" t="str">
        <f>"36412022010513140183961"</f>
        <v>36412022010513140183961</v>
      </c>
      <c r="C162" s="5" t="s">
        <v>9</v>
      </c>
      <c r="D162" s="5" t="str">
        <f>"赵日拓"</f>
        <v>赵日拓</v>
      </c>
      <c r="E162" s="5" t="str">
        <f>"男"</f>
        <v>男</v>
      </c>
      <c r="F162" s="5" t="str">
        <f t="shared" si="20"/>
        <v>汉族</v>
      </c>
    </row>
    <row r="163" ht="30" customHeight="1" spans="1:6">
      <c r="A163" s="5">
        <v>161</v>
      </c>
      <c r="B163" s="5" t="str">
        <f>"36412022010516280284927"</f>
        <v>36412022010516280284927</v>
      </c>
      <c r="C163" s="5" t="s">
        <v>9</v>
      </c>
      <c r="D163" s="5" t="str">
        <f>"符雅雲"</f>
        <v>符雅雲</v>
      </c>
      <c r="E163" s="5" t="str">
        <f>"女"</f>
        <v>女</v>
      </c>
      <c r="F163" s="5" t="str">
        <f t="shared" si="20"/>
        <v>汉族</v>
      </c>
    </row>
    <row r="164" ht="30" customHeight="1" spans="1:6">
      <c r="A164" s="5">
        <v>162</v>
      </c>
      <c r="B164" s="5" t="str">
        <f>"36412022010516461485025"</f>
        <v>36412022010516461485025</v>
      </c>
      <c r="C164" s="5" t="s">
        <v>9</v>
      </c>
      <c r="D164" s="5" t="str">
        <f>"林真丹"</f>
        <v>林真丹</v>
      </c>
      <c r="E164" s="5" t="str">
        <f>"女"</f>
        <v>女</v>
      </c>
      <c r="F164" s="5" t="str">
        <f t="shared" si="20"/>
        <v>汉族</v>
      </c>
    </row>
    <row r="165" ht="30" customHeight="1" spans="1:6">
      <c r="A165" s="5">
        <v>163</v>
      </c>
      <c r="B165" s="5" t="str">
        <f>"36412022010521011986083"</f>
        <v>36412022010521011986083</v>
      </c>
      <c r="C165" s="5" t="s">
        <v>9</v>
      </c>
      <c r="D165" s="5" t="str">
        <f>"陈海珍"</f>
        <v>陈海珍</v>
      </c>
      <c r="E165" s="5" t="str">
        <f>"女"</f>
        <v>女</v>
      </c>
      <c r="F165" s="5" t="str">
        <f t="shared" si="20"/>
        <v>汉族</v>
      </c>
    </row>
    <row r="166" ht="30" customHeight="1" spans="1:6">
      <c r="A166" s="5">
        <v>164</v>
      </c>
      <c r="B166" s="5" t="str">
        <f>"36412022010521202386169"</f>
        <v>36412022010521202386169</v>
      </c>
      <c r="C166" s="5" t="s">
        <v>9</v>
      </c>
      <c r="D166" s="5" t="str">
        <f>"吴洁明"</f>
        <v>吴洁明</v>
      </c>
      <c r="E166" s="5" t="str">
        <f>"女"</f>
        <v>女</v>
      </c>
      <c r="F166" s="5" t="str">
        <f t="shared" si="20"/>
        <v>汉族</v>
      </c>
    </row>
    <row r="167" ht="30" customHeight="1" spans="1:6">
      <c r="A167" s="5">
        <v>165</v>
      </c>
      <c r="B167" s="5" t="str">
        <f>"36412022010522350086506"</f>
        <v>36412022010522350086506</v>
      </c>
      <c r="C167" s="5" t="s">
        <v>9</v>
      </c>
      <c r="D167" s="5" t="str">
        <f>"符传雄"</f>
        <v>符传雄</v>
      </c>
      <c r="E167" s="5" t="str">
        <f>"男"</f>
        <v>男</v>
      </c>
      <c r="F167" s="5" t="str">
        <f t="shared" si="20"/>
        <v>汉族</v>
      </c>
    </row>
    <row r="168" ht="30" customHeight="1" spans="1:6">
      <c r="A168" s="5">
        <v>166</v>
      </c>
      <c r="B168" s="5" t="str">
        <f>"36412022010600324686746"</f>
        <v>36412022010600324686746</v>
      </c>
      <c r="C168" s="5" t="s">
        <v>9</v>
      </c>
      <c r="D168" s="5" t="str">
        <f>"郑史冰"</f>
        <v>郑史冰</v>
      </c>
      <c r="E168" s="5" t="str">
        <f>"女"</f>
        <v>女</v>
      </c>
      <c r="F168" s="5" t="str">
        <f t="shared" si="20"/>
        <v>汉族</v>
      </c>
    </row>
    <row r="169" ht="30" customHeight="1" spans="1:6">
      <c r="A169" s="5">
        <v>167</v>
      </c>
      <c r="B169" s="5" t="str">
        <f>"36412022010610322987371"</f>
        <v>36412022010610322987371</v>
      </c>
      <c r="C169" s="5" t="s">
        <v>9</v>
      </c>
      <c r="D169" s="5" t="str">
        <f>"李明祜"</f>
        <v>李明祜</v>
      </c>
      <c r="E169" s="5" t="str">
        <f>"男"</f>
        <v>男</v>
      </c>
      <c r="F169" s="5" t="str">
        <f t="shared" si="20"/>
        <v>汉族</v>
      </c>
    </row>
    <row r="170" ht="30" customHeight="1" spans="1:6">
      <c r="A170" s="5">
        <v>168</v>
      </c>
      <c r="B170" s="5" t="str">
        <f>"36412022010613034888022"</f>
        <v>36412022010613034888022</v>
      </c>
      <c r="C170" s="5" t="s">
        <v>9</v>
      </c>
      <c r="D170" s="5" t="str">
        <f>"朱联震"</f>
        <v>朱联震</v>
      </c>
      <c r="E170" s="5" t="str">
        <f>"女"</f>
        <v>女</v>
      </c>
      <c r="F170" s="5" t="str">
        <f t="shared" si="20"/>
        <v>汉族</v>
      </c>
    </row>
    <row r="171" ht="30" customHeight="1" spans="1:6">
      <c r="A171" s="5">
        <v>169</v>
      </c>
      <c r="B171" s="5" t="str">
        <f>"36412022010615052988476"</f>
        <v>36412022010615052988476</v>
      </c>
      <c r="C171" s="5" t="s">
        <v>9</v>
      </c>
      <c r="D171" s="5" t="str">
        <f>"邢孔芸"</f>
        <v>邢孔芸</v>
      </c>
      <c r="E171" s="5" t="str">
        <f>"女"</f>
        <v>女</v>
      </c>
      <c r="F171" s="5" t="str">
        <f>"黎族"</f>
        <v>黎族</v>
      </c>
    </row>
    <row r="172" ht="30" customHeight="1" spans="1:6">
      <c r="A172" s="5">
        <v>170</v>
      </c>
      <c r="B172" s="5" t="str">
        <f>"36412022010615101288499"</f>
        <v>36412022010615101288499</v>
      </c>
      <c r="C172" s="5" t="s">
        <v>9</v>
      </c>
      <c r="D172" s="5" t="str">
        <f>"符英玲"</f>
        <v>符英玲</v>
      </c>
      <c r="E172" s="5" t="str">
        <f>"女"</f>
        <v>女</v>
      </c>
      <c r="F172" s="5" t="str">
        <f>"黎族"</f>
        <v>黎族</v>
      </c>
    </row>
    <row r="173" ht="30" customHeight="1" spans="1:6">
      <c r="A173" s="5">
        <v>171</v>
      </c>
      <c r="B173" s="5" t="str">
        <f>"36412022010618013989242"</f>
        <v>36412022010618013989242</v>
      </c>
      <c r="C173" s="5" t="s">
        <v>9</v>
      </c>
      <c r="D173" s="5" t="str">
        <f>"符建菲"</f>
        <v>符建菲</v>
      </c>
      <c r="E173" s="5" t="str">
        <f>"女"</f>
        <v>女</v>
      </c>
      <c r="F173" s="5" t="str">
        <f t="shared" ref="F173:F179" si="21">"汉族"</f>
        <v>汉族</v>
      </c>
    </row>
    <row r="174" ht="30" customHeight="1" spans="1:6">
      <c r="A174" s="5">
        <v>172</v>
      </c>
      <c r="B174" s="5" t="str">
        <f>"36412022010618172589289"</f>
        <v>36412022010618172589289</v>
      </c>
      <c r="C174" s="5" t="s">
        <v>9</v>
      </c>
      <c r="D174" s="5" t="str">
        <f>"余顺子"</f>
        <v>余顺子</v>
      </c>
      <c r="E174" s="5" t="str">
        <f>"男"</f>
        <v>男</v>
      </c>
      <c r="F174" s="5" t="str">
        <f t="shared" si="21"/>
        <v>汉族</v>
      </c>
    </row>
    <row r="175" ht="30" customHeight="1" spans="1:6">
      <c r="A175" s="5">
        <v>173</v>
      </c>
      <c r="B175" s="5" t="str">
        <f>"36412022010622330790164"</f>
        <v>36412022010622330790164</v>
      </c>
      <c r="C175" s="5" t="s">
        <v>9</v>
      </c>
      <c r="D175" s="5" t="str">
        <f>"李娟娟"</f>
        <v>李娟娟</v>
      </c>
      <c r="E175" s="5" t="str">
        <f>"女"</f>
        <v>女</v>
      </c>
      <c r="F175" s="5" t="str">
        <f t="shared" si="21"/>
        <v>汉族</v>
      </c>
    </row>
    <row r="176" ht="30" customHeight="1" spans="1:6">
      <c r="A176" s="5">
        <v>174</v>
      </c>
      <c r="B176" s="5" t="str">
        <f>"36412022010710061190802"</f>
        <v>36412022010710061190802</v>
      </c>
      <c r="C176" s="5" t="s">
        <v>9</v>
      </c>
      <c r="D176" s="5" t="str">
        <f>"卓书泉"</f>
        <v>卓书泉</v>
      </c>
      <c r="E176" s="5" t="str">
        <f>"男"</f>
        <v>男</v>
      </c>
      <c r="F176" s="5" t="str">
        <f t="shared" si="21"/>
        <v>汉族</v>
      </c>
    </row>
    <row r="177" ht="30" customHeight="1" spans="1:6">
      <c r="A177" s="5">
        <v>175</v>
      </c>
      <c r="B177" s="5" t="str">
        <f>"36412022010714490191821"</f>
        <v>36412022010714490191821</v>
      </c>
      <c r="C177" s="5" t="s">
        <v>9</v>
      </c>
      <c r="D177" s="5" t="str">
        <f>"邢清瑶"</f>
        <v>邢清瑶</v>
      </c>
      <c r="E177" s="5" t="str">
        <f>"女"</f>
        <v>女</v>
      </c>
      <c r="F177" s="5" t="str">
        <f t="shared" si="21"/>
        <v>汉族</v>
      </c>
    </row>
    <row r="178" ht="30" customHeight="1" spans="1:6">
      <c r="A178" s="5">
        <v>176</v>
      </c>
      <c r="B178" s="5" t="str">
        <f>"36412022010715533292084"</f>
        <v>36412022010715533292084</v>
      </c>
      <c r="C178" s="5" t="s">
        <v>9</v>
      </c>
      <c r="D178" s="5" t="str">
        <f>"何爱坤"</f>
        <v>何爱坤</v>
      </c>
      <c r="E178" s="5" t="str">
        <f>"女"</f>
        <v>女</v>
      </c>
      <c r="F178" s="5" t="str">
        <f t="shared" si="21"/>
        <v>汉族</v>
      </c>
    </row>
    <row r="179" ht="30" customHeight="1" spans="1:6">
      <c r="A179" s="5">
        <v>177</v>
      </c>
      <c r="B179" s="5" t="str">
        <f>"36412022010715550592093"</f>
        <v>36412022010715550592093</v>
      </c>
      <c r="C179" s="5" t="s">
        <v>9</v>
      </c>
      <c r="D179" s="5" t="str">
        <f>"王劲"</f>
        <v>王劲</v>
      </c>
      <c r="E179" s="5" t="str">
        <f>"男"</f>
        <v>男</v>
      </c>
      <c r="F179" s="5" t="str">
        <f t="shared" si="21"/>
        <v>汉族</v>
      </c>
    </row>
    <row r="180" ht="30" customHeight="1" spans="1:6">
      <c r="A180" s="5">
        <v>178</v>
      </c>
      <c r="B180" s="5" t="str">
        <f>"36412022010721490492883"</f>
        <v>36412022010721490492883</v>
      </c>
      <c r="C180" s="5" t="s">
        <v>9</v>
      </c>
      <c r="D180" s="5" t="str">
        <f>"邓斌斌"</f>
        <v>邓斌斌</v>
      </c>
      <c r="E180" s="5" t="str">
        <f>"男"</f>
        <v>男</v>
      </c>
      <c r="F180" s="5" t="str">
        <f>"黎族"</f>
        <v>黎族</v>
      </c>
    </row>
    <row r="181" ht="30" customHeight="1" spans="1:6">
      <c r="A181" s="5">
        <v>179</v>
      </c>
      <c r="B181" s="5" t="str">
        <f>"36412022010810502993248"</f>
        <v>36412022010810502993248</v>
      </c>
      <c r="C181" s="5" t="s">
        <v>9</v>
      </c>
      <c r="D181" s="5" t="str">
        <f>"石丽雪"</f>
        <v>石丽雪</v>
      </c>
      <c r="E181" s="5" t="str">
        <f t="shared" ref="E181:E189" si="22">"女"</f>
        <v>女</v>
      </c>
      <c r="F181" s="5" t="str">
        <f t="shared" ref="F181:F192" si="23">"汉族"</f>
        <v>汉族</v>
      </c>
    </row>
    <row r="182" ht="30" customHeight="1" spans="1:6">
      <c r="A182" s="5">
        <v>180</v>
      </c>
      <c r="B182" s="5" t="str">
        <f>"36412022010821183794237"</f>
        <v>36412022010821183794237</v>
      </c>
      <c r="C182" s="5" t="s">
        <v>9</v>
      </c>
      <c r="D182" s="5" t="str">
        <f>"金风坤"</f>
        <v>金风坤</v>
      </c>
      <c r="E182" s="5" t="str">
        <f t="shared" si="22"/>
        <v>女</v>
      </c>
      <c r="F182" s="5" t="str">
        <f t="shared" si="23"/>
        <v>汉族</v>
      </c>
    </row>
    <row r="183" ht="30" customHeight="1" spans="1:6">
      <c r="A183" s="5">
        <v>181</v>
      </c>
      <c r="B183" s="5" t="str">
        <f>"36412022010823322194486"</f>
        <v>36412022010823322194486</v>
      </c>
      <c r="C183" s="5" t="s">
        <v>9</v>
      </c>
      <c r="D183" s="5" t="str">
        <f>"陈泰琦"</f>
        <v>陈泰琦</v>
      </c>
      <c r="E183" s="5" t="str">
        <f t="shared" si="22"/>
        <v>女</v>
      </c>
      <c r="F183" s="5" t="str">
        <f t="shared" si="23"/>
        <v>汉族</v>
      </c>
    </row>
    <row r="184" ht="30" customHeight="1" spans="1:6">
      <c r="A184" s="5">
        <v>182</v>
      </c>
      <c r="B184" s="5" t="str">
        <f>"36412022010914520195366"</f>
        <v>36412022010914520195366</v>
      </c>
      <c r="C184" s="5" t="s">
        <v>9</v>
      </c>
      <c r="D184" s="5" t="str">
        <f>"李笔秋"</f>
        <v>李笔秋</v>
      </c>
      <c r="E184" s="5" t="str">
        <f t="shared" si="22"/>
        <v>女</v>
      </c>
      <c r="F184" s="5" t="str">
        <f t="shared" si="23"/>
        <v>汉族</v>
      </c>
    </row>
    <row r="185" ht="30" customHeight="1" spans="1:6">
      <c r="A185" s="5">
        <v>183</v>
      </c>
      <c r="B185" s="5" t="str">
        <f>"36412022010919350495818"</f>
        <v>36412022010919350495818</v>
      </c>
      <c r="C185" s="5" t="s">
        <v>9</v>
      </c>
      <c r="D185" s="5" t="str">
        <f>"符晓寒"</f>
        <v>符晓寒</v>
      </c>
      <c r="E185" s="5" t="str">
        <f t="shared" si="22"/>
        <v>女</v>
      </c>
      <c r="F185" s="5" t="str">
        <f t="shared" si="23"/>
        <v>汉族</v>
      </c>
    </row>
    <row r="186" ht="30" customHeight="1" spans="1:6">
      <c r="A186" s="5">
        <v>184</v>
      </c>
      <c r="B186" s="5" t="str">
        <f>"36412022010920095395876"</f>
        <v>36412022010920095395876</v>
      </c>
      <c r="C186" s="5" t="s">
        <v>9</v>
      </c>
      <c r="D186" s="5" t="str">
        <f>"林丽婷"</f>
        <v>林丽婷</v>
      </c>
      <c r="E186" s="5" t="str">
        <f t="shared" si="22"/>
        <v>女</v>
      </c>
      <c r="F186" s="5" t="str">
        <f t="shared" si="23"/>
        <v>汉族</v>
      </c>
    </row>
    <row r="187" ht="30" customHeight="1" spans="1:6">
      <c r="A187" s="5">
        <v>185</v>
      </c>
      <c r="B187" s="5" t="str">
        <f>"36412022010921465796060"</f>
        <v>36412022010921465796060</v>
      </c>
      <c r="C187" s="5" t="s">
        <v>9</v>
      </c>
      <c r="D187" s="5" t="str">
        <f>"王冰月"</f>
        <v>王冰月</v>
      </c>
      <c r="E187" s="5" t="str">
        <f t="shared" si="22"/>
        <v>女</v>
      </c>
      <c r="F187" s="5" t="str">
        <f t="shared" si="23"/>
        <v>汉族</v>
      </c>
    </row>
    <row r="188" ht="30" customHeight="1" spans="1:6">
      <c r="A188" s="5">
        <v>186</v>
      </c>
      <c r="B188" s="5" t="str">
        <f>"36412022010922315196147"</f>
        <v>36412022010922315196147</v>
      </c>
      <c r="C188" s="5" t="s">
        <v>9</v>
      </c>
      <c r="D188" s="5" t="str">
        <f>"陈吉瑞"</f>
        <v>陈吉瑞</v>
      </c>
      <c r="E188" s="5" t="str">
        <f t="shared" si="22"/>
        <v>女</v>
      </c>
      <c r="F188" s="5" t="str">
        <f t="shared" si="23"/>
        <v>汉族</v>
      </c>
    </row>
    <row r="189" ht="30" customHeight="1" spans="1:6">
      <c r="A189" s="5">
        <v>187</v>
      </c>
      <c r="B189" s="5" t="str">
        <f>"36412022011007433396321"</f>
        <v>36412022011007433396321</v>
      </c>
      <c r="C189" s="5" t="s">
        <v>9</v>
      </c>
      <c r="D189" s="5" t="str">
        <f>"李欣欣"</f>
        <v>李欣欣</v>
      </c>
      <c r="E189" s="5" t="str">
        <f t="shared" si="22"/>
        <v>女</v>
      </c>
      <c r="F189" s="5" t="str">
        <f t="shared" si="23"/>
        <v>汉族</v>
      </c>
    </row>
    <row r="190" ht="30" customHeight="1" spans="1:6">
      <c r="A190" s="5">
        <v>188</v>
      </c>
      <c r="B190" s="5" t="str">
        <f>"36412022011008553796392"</f>
        <v>36412022011008553796392</v>
      </c>
      <c r="C190" s="5" t="s">
        <v>9</v>
      </c>
      <c r="D190" s="5" t="str">
        <f>"王华汉"</f>
        <v>王华汉</v>
      </c>
      <c r="E190" s="5" t="str">
        <f>"男"</f>
        <v>男</v>
      </c>
      <c r="F190" s="5" t="str">
        <f t="shared" si="23"/>
        <v>汉族</v>
      </c>
    </row>
    <row r="191" ht="30" customHeight="1" spans="1:6">
      <c r="A191" s="5">
        <v>189</v>
      </c>
      <c r="B191" s="5" t="str">
        <f>"36412022011009542496563"</f>
        <v>36412022011009542496563</v>
      </c>
      <c r="C191" s="5" t="s">
        <v>9</v>
      </c>
      <c r="D191" s="5" t="str">
        <f>"张裕正"</f>
        <v>张裕正</v>
      </c>
      <c r="E191" s="5" t="str">
        <f>"男"</f>
        <v>男</v>
      </c>
      <c r="F191" s="5" t="str">
        <f t="shared" si="23"/>
        <v>汉族</v>
      </c>
    </row>
    <row r="192" ht="30" customHeight="1" spans="1:6">
      <c r="A192" s="5">
        <v>190</v>
      </c>
      <c r="B192" s="5" t="str">
        <f>"36412022011009551796569"</f>
        <v>36412022011009551796569</v>
      </c>
      <c r="C192" s="5" t="s">
        <v>9</v>
      </c>
      <c r="D192" s="5" t="str">
        <f>"卢银叶"</f>
        <v>卢银叶</v>
      </c>
      <c r="E192" s="5" t="str">
        <f>"女"</f>
        <v>女</v>
      </c>
      <c r="F192" s="5" t="str">
        <f t="shared" si="23"/>
        <v>汉族</v>
      </c>
    </row>
    <row r="193" ht="30" customHeight="1" spans="1:6">
      <c r="A193" s="5">
        <v>191</v>
      </c>
      <c r="B193" s="5" t="str">
        <f>"36412022011011001696785"</f>
        <v>36412022011011001696785</v>
      </c>
      <c r="C193" s="5" t="s">
        <v>9</v>
      </c>
      <c r="D193" s="5" t="str">
        <f>"李寒"</f>
        <v>李寒</v>
      </c>
      <c r="E193" s="5" t="str">
        <f>"女"</f>
        <v>女</v>
      </c>
      <c r="F193" s="5" t="str">
        <f>"黎族"</f>
        <v>黎族</v>
      </c>
    </row>
    <row r="194" ht="30" customHeight="1" spans="1:6">
      <c r="A194" s="5">
        <v>192</v>
      </c>
      <c r="B194" s="5" t="str">
        <f>"36412022011011053696809"</f>
        <v>36412022011011053696809</v>
      </c>
      <c r="C194" s="5" t="s">
        <v>9</v>
      </c>
      <c r="D194" s="5" t="str">
        <f>"陈绪倩"</f>
        <v>陈绪倩</v>
      </c>
      <c r="E194" s="5" t="str">
        <f>"女"</f>
        <v>女</v>
      </c>
      <c r="F194" s="5" t="str">
        <f t="shared" ref="F194:F207" si="24">"汉族"</f>
        <v>汉族</v>
      </c>
    </row>
    <row r="195" ht="30" customHeight="1" spans="1:6">
      <c r="A195" s="5">
        <v>193</v>
      </c>
      <c r="B195" s="5" t="str">
        <f>"36412022011011124196835"</f>
        <v>36412022011011124196835</v>
      </c>
      <c r="C195" s="5" t="s">
        <v>9</v>
      </c>
      <c r="D195" s="5" t="str">
        <f>"刘凤婷"</f>
        <v>刘凤婷</v>
      </c>
      <c r="E195" s="5" t="str">
        <f>"女"</f>
        <v>女</v>
      </c>
      <c r="F195" s="5" t="str">
        <f t="shared" si="24"/>
        <v>汉族</v>
      </c>
    </row>
    <row r="196" ht="30" customHeight="1" spans="1:6">
      <c r="A196" s="5">
        <v>194</v>
      </c>
      <c r="B196" s="5" t="str">
        <f>"36412022011011202796862"</f>
        <v>36412022011011202796862</v>
      </c>
      <c r="C196" s="5" t="s">
        <v>9</v>
      </c>
      <c r="D196" s="5" t="str">
        <f>"童东"</f>
        <v>童东</v>
      </c>
      <c r="E196" s="5" t="str">
        <f>"男"</f>
        <v>男</v>
      </c>
      <c r="F196" s="5" t="str">
        <f t="shared" si="24"/>
        <v>汉族</v>
      </c>
    </row>
    <row r="197" ht="30" customHeight="1" spans="1:6">
      <c r="A197" s="5">
        <v>195</v>
      </c>
      <c r="B197" s="5" t="str">
        <f>"36412022011011220796867"</f>
        <v>36412022011011220796867</v>
      </c>
      <c r="C197" s="5" t="s">
        <v>9</v>
      </c>
      <c r="D197" s="5" t="str">
        <f>"郑胜蓝"</f>
        <v>郑胜蓝</v>
      </c>
      <c r="E197" s="5" t="str">
        <f>"女"</f>
        <v>女</v>
      </c>
      <c r="F197" s="5" t="str">
        <f t="shared" si="24"/>
        <v>汉族</v>
      </c>
    </row>
    <row r="198" ht="30" customHeight="1" spans="1:6">
      <c r="A198" s="5">
        <v>196</v>
      </c>
      <c r="B198" s="5" t="str">
        <f>"36412021123109194369725"</f>
        <v>36412021123109194369725</v>
      </c>
      <c r="C198" s="5" t="s">
        <v>10</v>
      </c>
      <c r="D198" s="5" t="str">
        <f>"古宇"</f>
        <v>古宇</v>
      </c>
      <c r="E198" s="5" t="str">
        <f>"男"</f>
        <v>男</v>
      </c>
      <c r="F198" s="5" t="str">
        <f t="shared" si="24"/>
        <v>汉族</v>
      </c>
    </row>
    <row r="199" ht="30" customHeight="1" spans="1:6">
      <c r="A199" s="5">
        <v>197</v>
      </c>
      <c r="B199" s="5" t="str">
        <f>"36412021123110105769953"</f>
        <v>36412021123110105769953</v>
      </c>
      <c r="C199" s="5" t="s">
        <v>10</v>
      </c>
      <c r="D199" s="5" t="str">
        <f>"卢丹玲"</f>
        <v>卢丹玲</v>
      </c>
      <c r="E199" s="5" t="str">
        <f>"女"</f>
        <v>女</v>
      </c>
      <c r="F199" s="5" t="str">
        <f t="shared" si="24"/>
        <v>汉族</v>
      </c>
    </row>
    <row r="200" ht="30" customHeight="1" spans="1:6">
      <c r="A200" s="5">
        <v>198</v>
      </c>
      <c r="B200" s="5" t="str">
        <f>"36412021123114271270724"</f>
        <v>36412021123114271270724</v>
      </c>
      <c r="C200" s="5" t="s">
        <v>10</v>
      </c>
      <c r="D200" s="5" t="str">
        <f>"金文彦"</f>
        <v>金文彦</v>
      </c>
      <c r="E200" s="5" t="str">
        <f>"男"</f>
        <v>男</v>
      </c>
      <c r="F200" s="5" t="str">
        <f t="shared" si="24"/>
        <v>汉族</v>
      </c>
    </row>
    <row r="201" ht="30" customHeight="1" spans="1:6">
      <c r="A201" s="5">
        <v>199</v>
      </c>
      <c r="B201" s="5" t="str">
        <f>"36412022010123293572361"</f>
        <v>36412022010123293572361</v>
      </c>
      <c r="C201" s="5" t="s">
        <v>10</v>
      </c>
      <c r="D201" s="5" t="str">
        <f>"李柔仙"</f>
        <v>李柔仙</v>
      </c>
      <c r="E201" s="5" t="str">
        <f>"女"</f>
        <v>女</v>
      </c>
      <c r="F201" s="5" t="str">
        <f t="shared" si="24"/>
        <v>汉族</v>
      </c>
    </row>
    <row r="202" ht="30" customHeight="1" spans="1:6">
      <c r="A202" s="5">
        <v>200</v>
      </c>
      <c r="B202" s="5" t="str">
        <f>"36412022010311000874266"</f>
        <v>36412022010311000874266</v>
      </c>
      <c r="C202" s="5" t="s">
        <v>10</v>
      </c>
      <c r="D202" s="5" t="str">
        <f>"张雨鑫"</f>
        <v>张雨鑫</v>
      </c>
      <c r="E202" s="5" t="str">
        <f>"女"</f>
        <v>女</v>
      </c>
      <c r="F202" s="5" t="str">
        <f t="shared" si="24"/>
        <v>汉族</v>
      </c>
    </row>
    <row r="203" ht="30" customHeight="1" spans="1:6">
      <c r="A203" s="5">
        <v>201</v>
      </c>
      <c r="B203" s="5" t="str">
        <f>"36412022010320183276369"</f>
        <v>36412022010320183276369</v>
      </c>
      <c r="C203" s="5" t="s">
        <v>10</v>
      </c>
      <c r="D203" s="5" t="str">
        <f>"刘君霞"</f>
        <v>刘君霞</v>
      </c>
      <c r="E203" s="5" t="str">
        <f>"女"</f>
        <v>女</v>
      </c>
      <c r="F203" s="5" t="str">
        <f t="shared" si="24"/>
        <v>汉族</v>
      </c>
    </row>
    <row r="204" ht="30" customHeight="1" spans="1:6">
      <c r="A204" s="5">
        <v>202</v>
      </c>
      <c r="B204" s="5" t="str">
        <f>"36412022010323212576896"</f>
        <v>36412022010323212576896</v>
      </c>
      <c r="C204" s="5" t="s">
        <v>10</v>
      </c>
      <c r="D204" s="5" t="str">
        <f>"陈家文"</f>
        <v>陈家文</v>
      </c>
      <c r="E204" s="5" t="str">
        <f>"男"</f>
        <v>男</v>
      </c>
      <c r="F204" s="5" t="str">
        <f t="shared" si="24"/>
        <v>汉族</v>
      </c>
    </row>
    <row r="205" ht="30" customHeight="1" spans="1:6">
      <c r="A205" s="5">
        <v>203</v>
      </c>
      <c r="B205" s="5" t="str">
        <f>"36412022010409224377587"</f>
        <v>36412022010409224377587</v>
      </c>
      <c r="C205" s="5" t="s">
        <v>10</v>
      </c>
      <c r="D205" s="5" t="str">
        <f>"黄富"</f>
        <v>黄富</v>
      </c>
      <c r="E205" s="5" t="str">
        <f>"男"</f>
        <v>男</v>
      </c>
      <c r="F205" s="5" t="str">
        <f t="shared" si="24"/>
        <v>汉族</v>
      </c>
    </row>
    <row r="206" ht="30" customHeight="1" spans="1:6">
      <c r="A206" s="5">
        <v>204</v>
      </c>
      <c r="B206" s="5" t="str">
        <f>"36412022010418520480945"</f>
        <v>36412022010418520480945</v>
      </c>
      <c r="C206" s="5" t="s">
        <v>10</v>
      </c>
      <c r="D206" s="5" t="str">
        <f>"廖小花"</f>
        <v>廖小花</v>
      </c>
      <c r="E206" s="5" t="str">
        <f>"女"</f>
        <v>女</v>
      </c>
      <c r="F206" s="5" t="str">
        <f t="shared" si="24"/>
        <v>汉族</v>
      </c>
    </row>
    <row r="207" ht="30" customHeight="1" spans="1:6">
      <c r="A207" s="5">
        <v>205</v>
      </c>
      <c r="B207" s="5" t="str">
        <f>"36412022010420195681365"</f>
        <v>36412022010420195681365</v>
      </c>
      <c r="C207" s="5" t="s">
        <v>10</v>
      </c>
      <c r="D207" s="5" t="str">
        <f>"李明益"</f>
        <v>李明益</v>
      </c>
      <c r="E207" s="5" t="str">
        <f>"男"</f>
        <v>男</v>
      </c>
      <c r="F207" s="5" t="str">
        <f t="shared" si="24"/>
        <v>汉族</v>
      </c>
    </row>
    <row r="208" ht="30" customHeight="1" spans="1:6">
      <c r="A208" s="5">
        <v>206</v>
      </c>
      <c r="B208" s="5" t="str">
        <f>"36412022010514032084164"</f>
        <v>36412022010514032084164</v>
      </c>
      <c r="C208" s="5" t="s">
        <v>10</v>
      </c>
      <c r="D208" s="5" t="str">
        <f>"包哲启"</f>
        <v>包哲启</v>
      </c>
      <c r="E208" s="5" t="str">
        <f>"男"</f>
        <v>男</v>
      </c>
      <c r="F208" s="5" t="str">
        <f>"蒙古族"</f>
        <v>蒙古族</v>
      </c>
    </row>
    <row r="209" ht="30" customHeight="1" spans="1:6">
      <c r="A209" s="5">
        <v>207</v>
      </c>
      <c r="B209" s="5" t="str">
        <f>"36412022010516124084852"</f>
        <v>36412022010516124084852</v>
      </c>
      <c r="C209" s="5" t="s">
        <v>10</v>
      </c>
      <c r="D209" s="5" t="str">
        <f>"王林"</f>
        <v>王林</v>
      </c>
      <c r="E209" s="5" t="str">
        <f>"女"</f>
        <v>女</v>
      </c>
      <c r="F209" s="5" t="str">
        <f>"汉族"</f>
        <v>汉族</v>
      </c>
    </row>
    <row r="210" ht="30" customHeight="1" spans="1:6">
      <c r="A210" s="5">
        <v>208</v>
      </c>
      <c r="B210" s="5" t="str">
        <f>"36412022010612425687933"</f>
        <v>36412022010612425687933</v>
      </c>
      <c r="C210" s="5" t="s">
        <v>10</v>
      </c>
      <c r="D210" s="5" t="str">
        <f>"沈宪茹"</f>
        <v>沈宪茹</v>
      </c>
      <c r="E210" s="5" t="str">
        <f>"女"</f>
        <v>女</v>
      </c>
      <c r="F210" s="5" t="str">
        <f>"汉族"</f>
        <v>汉族</v>
      </c>
    </row>
    <row r="211" ht="30" customHeight="1" spans="1:6">
      <c r="A211" s="5">
        <v>209</v>
      </c>
      <c r="B211" s="5" t="str">
        <f>"36412022010615195288543"</f>
        <v>36412022010615195288543</v>
      </c>
      <c r="C211" s="5" t="s">
        <v>10</v>
      </c>
      <c r="D211" s="5" t="str">
        <f>"林道光"</f>
        <v>林道光</v>
      </c>
      <c r="E211" s="5" t="str">
        <f>"男"</f>
        <v>男</v>
      </c>
      <c r="F211" s="5" t="str">
        <f>"黎族"</f>
        <v>黎族</v>
      </c>
    </row>
    <row r="212" ht="30" customHeight="1" spans="1:6">
      <c r="A212" s="5">
        <v>210</v>
      </c>
      <c r="B212" s="5" t="str">
        <f>"36412022010616031888756"</f>
        <v>36412022010616031888756</v>
      </c>
      <c r="C212" s="5" t="s">
        <v>10</v>
      </c>
      <c r="D212" s="5" t="str">
        <f>"符茵茵"</f>
        <v>符茵茵</v>
      </c>
      <c r="E212" s="5" t="str">
        <f>"女"</f>
        <v>女</v>
      </c>
      <c r="F212" s="5" t="str">
        <f>"黎族"</f>
        <v>黎族</v>
      </c>
    </row>
    <row r="213" ht="30" customHeight="1" spans="1:6">
      <c r="A213" s="5">
        <v>211</v>
      </c>
      <c r="B213" s="5" t="str">
        <f>"36412022010621430789993"</f>
        <v>36412022010621430789993</v>
      </c>
      <c r="C213" s="5" t="s">
        <v>10</v>
      </c>
      <c r="D213" s="5" t="str">
        <f>"郑雪开"</f>
        <v>郑雪开</v>
      </c>
      <c r="E213" s="5" t="str">
        <f>"女"</f>
        <v>女</v>
      </c>
      <c r="F213" s="5" t="str">
        <f>"汉族"</f>
        <v>汉族</v>
      </c>
    </row>
    <row r="214" ht="30" customHeight="1" spans="1:6">
      <c r="A214" s="5">
        <v>212</v>
      </c>
      <c r="B214" s="5" t="str">
        <f>"36412022010622011990056"</f>
        <v>36412022010622011990056</v>
      </c>
      <c r="C214" s="5" t="s">
        <v>10</v>
      </c>
      <c r="D214" s="5" t="str">
        <f>"林芬"</f>
        <v>林芬</v>
      </c>
      <c r="E214" s="5" t="str">
        <f>"女"</f>
        <v>女</v>
      </c>
      <c r="F214" s="5" t="str">
        <f>"黎族"</f>
        <v>黎族</v>
      </c>
    </row>
    <row r="215" ht="30" customHeight="1" spans="1:6">
      <c r="A215" s="5">
        <v>213</v>
      </c>
      <c r="B215" s="5" t="str">
        <f>"36412022010717265992418"</f>
        <v>36412022010717265992418</v>
      </c>
      <c r="C215" s="5" t="s">
        <v>10</v>
      </c>
      <c r="D215" s="5" t="str">
        <f>"任建鑫"</f>
        <v>任建鑫</v>
      </c>
      <c r="E215" s="5" t="str">
        <f>"男"</f>
        <v>男</v>
      </c>
      <c r="F215" s="5" t="str">
        <f>"汉族"</f>
        <v>汉族</v>
      </c>
    </row>
    <row r="216" ht="30" customHeight="1" spans="1:6">
      <c r="A216" s="5">
        <v>214</v>
      </c>
      <c r="B216" s="5" t="str">
        <f>"36412022010718360892551"</f>
        <v>36412022010718360892551</v>
      </c>
      <c r="C216" s="5" t="s">
        <v>10</v>
      </c>
      <c r="D216" s="5" t="str">
        <f>"杨璐"</f>
        <v>杨璐</v>
      </c>
      <c r="E216" s="5" t="str">
        <f t="shared" ref="E216:E231" si="25">"女"</f>
        <v>女</v>
      </c>
      <c r="F216" s="5" t="str">
        <f>"汉族"</f>
        <v>汉族</v>
      </c>
    </row>
    <row r="217" ht="30" customHeight="1" spans="1:6">
      <c r="A217" s="5">
        <v>215</v>
      </c>
      <c r="B217" s="5" t="str">
        <f>"36412022010818051293885"</f>
        <v>36412022010818051293885</v>
      </c>
      <c r="C217" s="5" t="s">
        <v>10</v>
      </c>
      <c r="D217" s="5" t="str">
        <f>"刘晓东"</f>
        <v>刘晓东</v>
      </c>
      <c r="E217" s="5" t="str">
        <f t="shared" si="25"/>
        <v>女</v>
      </c>
      <c r="F217" s="5" t="str">
        <f>"汉族"</f>
        <v>汉族</v>
      </c>
    </row>
    <row r="218" ht="30" customHeight="1" spans="1:6">
      <c r="A218" s="5">
        <v>216</v>
      </c>
      <c r="B218" s="5" t="str">
        <f>"36412022010900155694540"</f>
        <v>36412022010900155694540</v>
      </c>
      <c r="C218" s="5" t="s">
        <v>10</v>
      </c>
      <c r="D218" s="5" t="str">
        <f>"顾梦怡"</f>
        <v>顾梦怡</v>
      </c>
      <c r="E218" s="5" t="str">
        <f t="shared" si="25"/>
        <v>女</v>
      </c>
      <c r="F218" s="5" t="str">
        <f>"汉族"</f>
        <v>汉族</v>
      </c>
    </row>
    <row r="219" ht="30" customHeight="1" spans="1:6">
      <c r="A219" s="5">
        <v>217</v>
      </c>
      <c r="B219" s="5" t="str">
        <f>"36412022010914045095276"</f>
        <v>36412022010914045095276</v>
      </c>
      <c r="C219" s="5" t="s">
        <v>10</v>
      </c>
      <c r="D219" s="5" t="str">
        <f>"杨柳"</f>
        <v>杨柳</v>
      </c>
      <c r="E219" s="5" t="str">
        <f t="shared" si="25"/>
        <v>女</v>
      </c>
      <c r="F219" s="5" t="str">
        <f>"汉族"</f>
        <v>汉族</v>
      </c>
    </row>
    <row r="220" ht="30" customHeight="1" spans="1:6">
      <c r="A220" s="5">
        <v>218</v>
      </c>
      <c r="B220" s="5" t="str">
        <f>"36412022010920460495933"</f>
        <v>36412022010920460495933</v>
      </c>
      <c r="C220" s="5" t="s">
        <v>10</v>
      </c>
      <c r="D220" s="5" t="str">
        <f>"胡钰钰"</f>
        <v>胡钰钰</v>
      </c>
      <c r="E220" s="5" t="str">
        <f t="shared" si="25"/>
        <v>女</v>
      </c>
      <c r="F220" s="5" t="str">
        <f>"黎族"</f>
        <v>黎族</v>
      </c>
    </row>
    <row r="221" ht="30" customHeight="1" spans="1:6">
      <c r="A221" s="5">
        <v>219</v>
      </c>
      <c r="B221" s="5" t="str">
        <f>"36412022011009545196565"</f>
        <v>36412022011009545196565</v>
      </c>
      <c r="C221" s="5" t="s">
        <v>10</v>
      </c>
      <c r="D221" s="5" t="str">
        <f>"高春娇"</f>
        <v>高春娇</v>
      </c>
      <c r="E221" s="5" t="str">
        <f t="shared" si="25"/>
        <v>女</v>
      </c>
      <c r="F221" s="5" t="str">
        <f>"汉族"</f>
        <v>汉族</v>
      </c>
    </row>
    <row r="222" ht="30" customHeight="1" spans="1:6">
      <c r="A222" s="5">
        <v>220</v>
      </c>
      <c r="B222" s="5" t="str">
        <f>"36412021123111495370376"</f>
        <v>36412021123111495370376</v>
      </c>
      <c r="C222" s="5" t="s">
        <v>11</v>
      </c>
      <c r="D222" s="5" t="str">
        <f>"吴庆雯"</f>
        <v>吴庆雯</v>
      </c>
      <c r="E222" s="5" t="str">
        <f t="shared" si="25"/>
        <v>女</v>
      </c>
      <c r="F222" s="5" t="str">
        <f>"汉族"</f>
        <v>汉族</v>
      </c>
    </row>
    <row r="223" ht="30" customHeight="1" spans="1:6">
      <c r="A223" s="5">
        <v>221</v>
      </c>
      <c r="B223" s="5" t="str">
        <f>"36412021123115422170926"</f>
        <v>36412021123115422170926</v>
      </c>
      <c r="C223" s="5" t="s">
        <v>11</v>
      </c>
      <c r="D223" s="5" t="str">
        <f>"高林鲜"</f>
        <v>高林鲜</v>
      </c>
      <c r="E223" s="5" t="str">
        <f t="shared" si="25"/>
        <v>女</v>
      </c>
      <c r="F223" s="5" t="str">
        <f>"黎族"</f>
        <v>黎族</v>
      </c>
    </row>
    <row r="224" ht="30" customHeight="1" spans="1:6">
      <c r="A224" s="5">
        <v>222</v>
      </c>
      <c r="B224" s="5" t="str">
        <f>"36412021123115564070951"</f>
        <v>36412021123115564070951</v>
      </c>
      <c r="C224" s="5" t="s">
        <v>11</v>
      </c>
      <c r="D224" s="5" t="str">
        <f>"陈秋蓉"</f>
        <v>陈秋蓉</v>
      </c>
      <c r="E224" s="5" t="str">
        <f t="shared" si="25"/>
        <v>女</v>
      </c>
      <c r="F224" s="5" t="str">
        <f>"汉族"</f>
        <v>汉族</v>
      </c>
    </row>
    <row r="225" ht="30" customHeight="1" spans="1:6">
      <c r="A225" s="5">
        <v>223</v>
      </c>
      <c r="B225" s="5" t="str">
        <f>"36412021123116354171040"</f>
        <v>36412021123116354171040</v>
      </c>
      <c r="C225" s="5" t="s">
        <v>11</v>
      </c>
      <c r="D225" s="5" t="str">
        <f>"黄诗婷"</f>
        <v>黄诗婷</v>
      </c>
      <c r="E225" s="5" t="str">
        <f t="shared" si="25"/>
        <v>女</v>
      </c>
      <c r="F225" s="5" t="str">
        <f>"汉族"</f>
        <v>汉族</v>
      </c>
    </row>
    <row r="226" ht="30" customHeight="1" spans="1:6">
      <c r="A226" s="5">
        <v>224</v>
      </c>
      <c r="B226" s="5" t="str">
        <f>"36412021123118004771171"</f>
        <v>36412021123118004771171</v>
      </c>
      <c r="C226" s="5" t="s">
        <v>11</v>
      </c>
      <c r="D226" s="5" t="str">
        <f>"李婷婷"</f>
        <v>李婷婷</v>
      </c>
      <c r="E226" s="5" t="str">
        <f t="shared" si="25"/>
        <v>女</v>
      </c>
      <c r="F226" s="5" t="str">
        <f>"黎族"</f>
        <v>黎族</v>
      </c>
    </row>
    <row r="227" ht="30" customHeight="1" spans="1:6">
      <c r="A227" s="5">
        <v>225</v>
      </c>
      <c r="B227" s="5" t="str">
        <f>"36412021123123431771392"</f>
        <v>36412021123123431771392</v>
      </c>
      <c r="C227" s="5" t="s">
        <v>11</v>
      </c>
      <c r="D227" s="5" t="str">
        <f>"羊晓颖"</f>
        <v>羊晓颖</v>
      </c>
      <c r="E227" s="5" t="str">
        <f t="shared" si="25"/>
        <v>女</v>
      </c>
      <c r="F227" s="5" t="str">
        <f>"汉族"</f>
        <v>汉族</v>
      </c>
    </row>
    <row r="228" ht="30" customHeight="1" spans="1:6">
      <c r="A228" s="5">
        <v>226</v>
      </c>
      <c r="B228" s="5" t="str">
        <f>"36412022010110234371550"</f>
        <v>36412022010110234371550</v>
      </c>
      <c r="C228" s="5" t="s">
        <v>11</v>
      </c>
      <c r="D228" s="5" t="str">
        <f>"吴程燕"</f>
        <v>吴程燕</v>
      </c>
      <c r="E228" s="5" t="str">
        <f t="shared" si="25"/>
        <v>女</v>
      </c>
      <c r="F228" s="5" t="str">
        <f>"汉族"</f>
        <v>汉族</v>
      </c>
    </row>
    <row r="229" ht="30" customHeight="1" spans="1:6">
      <c r="A229" s="5">
        <v>227</v>
      </c>
      <c r="B229" s="5" t="str">
        <f>"36412022010120251272183"</f>
        <v>36412022010120251272183</v>
      </c>
      <c r="C229" s="5" t="s">
        <v>11</v>
      </c>
      <c r="D229" s="5" t="str">
        <f>"陈秋菊"</f>
        <v>陈秋菊</v>
      </c>
      <c r="E229" s="5" t="str">
        <f t="shared" si="25"/>
        <v>女</v>
      </c>
      <c r="F229" s="5" t="str">
        <f>"黎族"</f>
        <v>黎族</v>
      </c>
    </row>
    <row r="230" ht="30" customHeight="1" spans="1:6">
      <c r="A230" s="5">
        <v>228</v>
      </c>
      <c r="B230" s="5" t="str">
        <f>"36412022010120532472209"</f>
        <v>36412022010120532472209</v>
      </c>
      <c r="C230" s="5" t="s">
        <v>11</v>
      </c>
      <c r="D230" s="5" t="str">
        <f>"马静"</f>
        <v>马静</v>
      </c>
      <c r="E230" s="5" t="str">
        <f t="shared" si="25"/>
        <v>女</v>
      </c>
      <c r="F230" s="5" t="str">
        <f>"汉族"</f>
        <v>汉族</v>
      </c>
    </row>
    <row r="231" ht="30" customHeight="1" spans="1:6">
      <c r="A231" s="5">
        <v>229</v>
      </c>
      <c r="B231" s="5" t="str">
        <f>"36412022010215195572916"</f>
        <v>36412022010215195572916</v>
      </c>
      <c r="C231" s="5" t="s">
        <v>11</v>
      </c>
      <c r="D231" s="5" t="str">
        <f>"陈泰润"</f>
        <v>陈泰润</v>
      </c>
      <c r="E231" s="5" t="str">
        <f t="shared" si="25"/>
        <v>女</v>
      </c>
      <c r="F231" s="5" t="str">
        <f>"汉族"</f>
        <v>汉族</v>
      </c>
    </row>
    <row r="232" ht="30" customHeight="1" spans="1:6">
      <c r="A232" s="5">
        <v>230</v>
      </c>
      <c r="B232" s="5" t="str">
        <f>"36412022010217254873063"</f>
        <v>36412022010217254873063</v>
      </c>
      <c r="C232" s="5" t="s">
        <v>11</v>
      </c>
      <c r="D232" s="5" t="str">
        <f>"杨许诚"</f>
        <v>杨许诚</v>
      </c>
      <c r="E232" s="5" t="str">
        <f>"男"</f>
        <v>男</v>
      </c>
      <c r="F232" s="5" t="str">
        <f>"汉族"</f>
        <v>汉族</v>
      </c>
    </row>
    <row r="233" ht="30" customHeight="1" spans="1:6">
      <c r="A233" s="5">
        <v>231</v>
      </c>
      <c r="B233" s="5" t="str">
        <f>"36412022010311552174578"</f>
        <v>36412022010311552174578</v>
      </c>
      <c r="C233" s="5" t="s">
        <v>11</v>
      </c>
      <c r="D233" s="5" t="str">
        <f>"张晶晶"</f>
        <v>张晶晶</v>
      </c>
      <c r="E233" s="5" t="str">
        <f t="shared" ref="E233:E244" si="26">"女"</f>
        <v>女</v>
      </c>
      <c r="F233" s="5" t="str">
        <f>"汉族"</f>
        <v>汉族</v>
      </c>
    </row>
    <row r="234" ht="30" customHeight="1" spans="1:6">
      <c r="A234" s="5">
        <v>232</v>
      </c>
      <c r="B234" s="5" t="str">
        <f>"36412022010316194575583"</f>
        <v>36412022010316194575583</v>
      </c>
      <c r="C234" s="5" t="s">
        <v>11</v>
      </c>
      <c r="D234" s="5" t="str">
        <f>"王若玮"</f>
        <v>王若玮</v>
      </c>
      <c r="E234" s="5" t="str">
        <f t="shared" si="26"/>
        <v>女</v>
      </c>
      <c r="F234" s="5" t="str">
        <f>"汉族"</f>
        <v>汉族</v>
      </c>
    </row>
    <row r="235" ht="30" customHeight="1" spans="1:6">
      <c r="A235" s="5">
        <v>233</v>
      </c>
      <c r="B235" s="5" t="str">
        <f>"36412022010318583876096"</f>
        <v>36412022010318583876096</v>
      </c>
      <c r="C235" s="5" t="s">
        <v>11</v>
      </c>
      <c r="D235" s="5" t="str">
        <f>"王光静"</f>
        <v>王光静</v>
      </c>
      <c r="E235" s="5" t="str">
        <f t="shared" si="26"/>
        <v>女</v>
      </c>
      <c r="F235" s="5" t="str">
        <f>"黎族"</f>
        <v>黎族</v>
      </c>
    </row>
    <row r="236" ht="30" customHeight="1" spans="1:6">
      <c r="A236" s="5">
        <v>234</v>
      </c>
      <c r="B236" s="5" t="str">
        <f>"36412022010320453676444"</f>
        <v>36412022010320453676444</v>
      </c>
      <c r="C236" s="5" t="s">
        <v>11</v>
      </c>
      <c r="D236" s="5" t="str">
        <f>"洪素金"</f>
        <v>洪素金</v>
      </c>
      <c r="E236" s="5" t="str">
        <f t="shared" si="26"/>
        <v>女</v>
      </c>
      <c r="F236" s="5" t="str">
        <f t="shared" ref="F236:F246" si="27">"汉族"</f>
        <v>汉族</v>
      </c>
    </row>
    <row r="237" ht="30" customHeight="1" spans="1:6">
      <c r="A237" s="5">
        <v>235</v>
      </c>
      <c r="B237" s="5" t="str">
        <f>"36412022010410060877963"</f>
        <v>36412022010410060877963</v>
      </c>
      <c r="C237" s="5" t="s">
        <v>11</v>
      </c>
      <c r="D237" s="5" t="str">
        <f>"苏悦"</f>
        <v>苏悦</v>
      </c>
      <c r="E237" s="5" t="str">
        <f t="shared" si="26"/>
        <v>女</v>
      </c>
      <c r="F237" s="5" t="str">
        <f t="shared" si="27"/>
        <v>汉族</v>
      </c>
    </row>
    <row r="238" ht="30" customHeight="1" spans="1:6">
      <c r="A238" s="5">
        <v>236</v>
      </c>
      <c r="B238" s="5" t="str">
        <f>"36412022010410253078135"</f>
        <v>36412022010410253078135</v>
      </c>
      <c r="C238" s="5" t="s">
        <v>11</v>
      </c>
      <c r="D238" s="5" t="str">
        <f>"王静怡"</f>
        <v>王静怡</v>
      </c>
      <c r="E238" s="5" t="str">
        <f t="shared" si="26"/>
        <v>女</v>
      </c>
      <c r="F238" s="5" t="str">
        <f t="shared" si="27"/>
        <v>汉族</v>
      </c>
    </row>
    <row r="239" ht="30" customHeight="1" spans="1:6">
      <c r="A239" s="5">
        <v>237</v>
      </c>
      <c r="B239" s="5" t="str">
        <f>"36412022010411304578700"</f>
        <v>36412022010411304578700</v>
      </c>
      <c r="C239" s="5" t="s">
        <v>11</v>
      </c>
      <c r="D239" s="5" t="str">
        <f>"王岩"</f>
        <v>王岩</v>
      </c>
      <c r="E239" s="5" t="str">
        <f t="shared" si="26"/>
        <v>女</v>
      </c>
      <c r="F239" s="5" t="str">
        <f t="shared" si="27"/>
        <v>汉族</v>
      </c>
    </row>
    <row r="240" ht="30" customHeight="1" spans="1:6">
      <c r="A240" s="5">
        <v>238</v>
      </c>
      <c r="B240" s="5" t="str">
        <f>"36412022010419432181189"</f>
        <v>36412022010419432181189</v>
      </c>
      <c r="C240" s="5" t="s">
        <v>11</v>
      </c>
      <c r="D240" s="5" t="str">
        <f>"陈婆转"</f>
        <v>陈婆转</v>
      </c>
      <c r="E240" s="5" t="str">
        <f t="shared" si="26"/>
        <v>女</v>
      </c>
      <c r="F240" s="5" t="str">
        <f t="shared" si="27"/>
        <v>汉族</v>
      </c>
    </row>
    <row r="241" ht="30" customHeight="1" spans="1:6">
      <c r="A241" s="5">
        <v>239</v>
      </c>
      <c r="B241" s="5" t="str">
        <f>"36412022010419540781235"</f>
        <v>36412022010419540781235</v>
      </c>
      <c r="C241" s="5" t="s">
        <v>11</v>
      </c>
      <c r="D241" s="5" t="str">
        <f>"曾应丹"</f>
        <v>曾应丹</v>
      </c>
      <c r="E241" s="5" t="str">
        <f t="shared" si="26"/>
        <v>女</v>
      </c>
      <c r="F241" s="5" t="str">
        <f t="shared" si="27"/>
        <v>汉族</v>
      </c>
    </row>
    <row r="242" ht="30" customHeight="1" spans="1:6">
      <c r="A242" s="5">
        <v>240</v>
      </c>
      <c r="B242" s="5" t="str">
        <f>"36412022010514065284179"</f>
        <v>36412022010514065284179</v>
      </c>
      <c r="C242" s="5" t="s">
        <v>11</v>
      </c>
      <c r="D242" s="5" t="str">
        <f>"云琼雨"</f>
        <v>云琼雨</v>
      </c>
      <c r="E242" s="5" t="str">
        <f t="shared" si="26"/>
        <v>女</v>
      </c>
      <c r="F242" s="5" t="str">
        <f t="shared" si="27"/>
        <v>汉族</v>
      </c>
    </row>
    <row r="243" ht="30" customHeight="1" spans="1:6">
      <c r="A243" s="5">
        <v>241</v>
      </c>
      <c r="B243" s="5" t="str">
        <f>"36412022010517445285294"</f>
        <v>36412022010517445285294</v>
      </c>
      <c r="C243" s="5" t="s">
        <v>11</v>
      </c>
      <c r="D243" s="5" t="str">
        <f>"唐利利"</f>
        <v>唐利利</v>
      </c>
      <c r="E243" s="5" t="str">
        <f t="shared" si="26"/>
        <v>女</v>
      </c>
      <c r="F243" s="5" t="str">
        <f t="shared" si="27"/>
        <v>汉族</v>
      </c>
    </row>
    <row r="244" ht="30" customHeight="1" spans="1:6">
      <c r="A244" s="5">
        <v>242</v>
      </c>
      <c r="B244" s="5" t="str">
        <f>"36412022010522325586497"</f>
        <v>36412022010522325586497</v>
      </c>
      <c r="C244" s="5" t="s">
        <v>11</v>
      </c>
      <c r="D244" s="5" t="str">
        <f>"李倩"</f>
        <v>李倩</v>
      </c>
      <c r="E244" s="5" t="str">
        <f t="shared" si="26"/>
        <v>女</v>
      </c>
      <c r="F244" s="5" t="str">
        <f t="shared" si="27"/>
        <v>汉族</v>
      </c>
    </row>
    <row r="245" ht="30" customHeight="1" spans="1:6">
      <c r="A245" s="5">
        <v>243</v>
      </c>
      <c r="B245" s="5" t="str">
        <f>"36412022010618204789303"</f>
        <v>36412022010618204789303</v>
      </c>
      <c r="C245" s="5" t="s">
        <v>11</v>
      </c>
      <c r="D245" s="5" t="str">
        <f>"赵文立"</f>
        <v>赵文立</v>
      </c>
      <c r="E245" s="5" t="str">
        <f>"男"</f>
        <v>男</v>
      </c>
      <c r="F245" s="5" t="str">
        <f t="shared" si="27"/>
        <v>汉族</v>
      </c>
    </row>
    <row r="246" ht="30" customHeight="1" spans="1:6">
      <c r="A246" s="5">
        <v>244</v>
      </c>
      <c r="B246" s="5" t="str">
        <f>"36412022010710553090998"</f>
        <v>36412022010710553090998</v>
      </c>
      <c r="C246" s="5" t="s">
        <v>11</v>
      </c>
      <c r="D246" s="5" t="str">
        <f>"宋畅"</f>
        <v>宋畅</v>
      </c>
      <c r="E246" s="5" t="str">
        <f>"女"</f>
        <v>女</v>
      </c>
      <c r="F246" s="5" t="str">
        <f t="shared" si="27"/>
        <v>汉族</v>
      </c>
    </row>
    <row r="247" ht="30" customHeight="1" spans="1:6">
      <c r="A247" s="5">
        <v>245</v>
      </c>
      <c r="B247" s="5" t="str">
        <f>"36412022010715575892106"</f>
        <v>36412022010715575892106</v>
      </c>
      <c r="C247" s="5" t="s">
        <v>11</v>
      </c>
      <c r="D247" s="5" t="str">
        <f>"吴捷"</f>
        <v>吴捷</v>
      </c>
      <c r="E247" s="5" t="str">
        <f>"女"</f>
        <v>女</v>
      </c>
      <c r="F247" s="5" t="str">
        <f>"黎族"</f>
        <v>黎族</v>
      </c>
    </row>
    <row r="248" ht="30" customHeight="1" spans="1:6">
      <c r="A248" s="5">
        <v>246</v>
      </c>
      <c r="B248" s="5" t="str">
        <f>"36412022010820052894078"</f>
        <v>36412022010820052894078</v>
      </c>
      <c r="C248" s="5" t="s">
        <v>11</v>
      </c>
      <c r="D248" s="5" t="str">
        <f>"张玉柳"</f>
        <v>张玉柳</v>
      </c>
      <c r="E248" s="5" t="str">
        <f>"女"</f>
        <v>女</v>
      </c>
      <c r="F248" s="5" t="str">
        <f t="shared" ref="F248:F259" si="28">"汉族"</f>
        <v>汉族</v>
      </c>
    </row>
    <row r="249" ht="30" customHeight="1" spans="1:6">
      <c r="A249" s="5">
        <v>247</v>
      </c>
      <c r="B249" s="5" t="str">
        <f>"36412022010917112295666"</f>
        <v>36412022010917112295666</v>
      </c>
      <c r="C249" s="5" t="s">
        <v>11</v>
      </c>
      <c r="D249" s="5" t="str">
        <f>"黄欣欣"</f>
        <v>黄欣欣</v>
      </c>
      <c r="E249" s="5" t="str">
        <f>"女"</f>
        <v>女</v>
      </c>
      <c r="F249" s="5" t="str">
        <f t="shared" si="28"/>
        <v>汉族</v>
      </c>
    </row>
    <row r="250" ht="30" customHeight="1" spans="1:6">
      <c r="A250" s="5">
        <v>248</v>
      </c>
      <c r="B250" s="5" t="str">
        <f>"36412022010921540696072"</f>
        <v>36412022010921540696072</v>
      </c>
      <c r="C250" s="5" t="s">
        <v>11</v>
      </c>
      <c r="D250" s="5" t="str">
        <f>"齐星星"</f>
        <v>齐星星</v>
      </c>
      <c r="E250" s="5" t="str">
        <f>"女"</f>
        <v>女</v>
      </c>
      <c r="F250" s="5" t="str">
        <f t="shared" si="28"/>
        <v>汉族</v>
      </c>
    </row>
    <row r="251" ht="30" customHeight="1" spans="1:6">
      <c r="A251" s="5">
        <v>249</v>
      </c>
      <c r="B251" s="5" t="str">
        <f>"36412022010922215196121"</f>
        <v>36412022010922215196121</v>
      </c>
      <c r="C251" s="5" t="s">
        <v>11</v>
      </c>
      <c r="D251" s="5" t="str">
        <f>"吴勰勰"</f>
        <v>吴勰勰</v>
      </c>
      <c r="E251" s="5" t="str">
        <f>"男"</f>
        <v>男</v>
      </c>
      <c r="F251" s="5" t="str">
        <f t="shared" si="28"/>
        <v>汉族</v>
      </c>
    </row>
    <row r="252" ht="30" customHeight="1" spans="1:6">
      <c r="A252" s="5">
        <v>250</v>
      </c>
      <c r="B252" s="5" t="str">
        <f>"36412022011009312796492"</f>
        <v>36412022011009312796492</v>
      </c>
      <c r="C252" s="5" t="s">
        <v>11</v>
      </c>
      <c r="D252" s="5" t="str">
        <f>"符秋婷"</f>
        <v>符秋婷</v>
      </c>
      <c r="E252" s="5" t="str">
        <f>"女"</f>
        <v>女</v>
      </c>
      <c r="F252" s="5" t="str">
        <f t="shared" si="28"/>
        <v>汉族</v>
      </c>
    </row>
    <row r="253" ht="30" customHeight="1" spans="1:6">
      <c r="A253" s="5">
        <v>251</v>
      </c>
      <c r="B253" s="5" t="str">
        <f>"36412022011009373796511"</f>
        <v>36412022011009373796511</v>
      </c>
      <c r="C253" s="5" t="s">
        <v>11</v>
      </c>
      <c r="D253" s="5" t="str">
        <f>"陈彩岭"</f>
        <v>陈彩岭</v>
      </c>
      <c r="E253" s="5" t="str">
        <f>"女"</f>
        <v>女</v>
      </c>
      <c r="F253" s="5" t="str">
        <f t="shared" si="28"/>
        <v>汉族</v>
      </c>
    </row>
    <row r="254" ht="30" customHeight="1" spans="1:6">
      <c r="A254" s="5">
        <v>252</v>
      </c>
      <c r="B254" s="5" t="str">
        <f>"36412022011010511896753"</f>
        <v>36412022011010511896753</v>
      </c>
      <c r="C254" s="5" t="s">
        <v>11</v>
      </c>
      <c r="D254" s="5" t="str">
        <f>"钟明洁"</f>
        <v>钟明洁</v>
      </c>
      <c r="E254" s="5" t="str">
        <f>"男"</f>
        <v>男</v>
      </c>
      <c r="F254" s="5" t="str">
        <f t="shared" si="28"/>
        <v>汉族</v>
      </c>
    </row>
    <row r="255" ht="30" customHeight="1" spans="1:6">
      <c r="A255" s="5">
        <v>253</v>
      </c>
      <c r="B255" s="5" t="str">
        <f>"36412022011011283996889"</f>
        <v>36412022011011283996889</v>
      </c>
      <c r="C255" s="5" t="s">
        <v>11</v>
      </c>
      <c r="D255" s="5" t="str">
        <f>"黄健珠"</f>
        <v>黄健珠</v>
      </c>
      <c r="E255" s="5" t="str">
        <f t="shared" ref="E255:E260" si="29">"女"</f>
        <v>女</v>
      </c>
      <c r="F255" s="5" t="str">
        <f t="shared" si="28"/>
        <v>汉族</v>
      </c>
    </row>
    <row r="256" ht="30" customHeight="1" spans="1:6">
      <c r="A256" s="5">
        <v>254</v>
      </c>
      <c r="B256" s="5" t="str">
        <f>"36412022011011292896893"</f>
        <v>36412022011011292896893</v>
      </c>
      <c r="C256" s="5" t="s">
        <v>11</v>
      </c>
      <c r="D256" s="5" t="str">
        <f>"方妍"</f>
        <v>方妍</v>
      </c>
      <c r="E256" s="5" t="str">
        <f t="shared" si="29"/>
        <v>女</v>
      </c>
      <c r="F256" s="5" t="str">
        <f t="shared" si="28"/>
        <v>汉族</v>
      </c>
    </row>
    <row r="257" ht="30" customHeight="1" spans="1:6">
      <c r="A257" s="5">
        <v>255</v>
      </c>
      <c r="B257" s="5" t="str">
        <f>"36412021123109131769702"</f>
        <v>36412021123109131769702</v>
      </c>
      <c r="C257" s="5" t="s">
        <v>12</v>
      </c>
      <c r="D257" s="5" t="str">
        <f>"陈月兰"</f>
        <v>陈月兰</v>
      </c>
      <c r="E257" s="5" t="str">
        <f t="shared" si="29"/>
        <v>女</v>
      </c>
      <c r="F257" s="5" t="str">
        <f t="shared" si="28"/>
        <v>汉族</v>
      </c>
    </row>
    <row r="258" ht="30" customHeight="1" spans="1:6">
      <c r="A258" s="5">
        <v>256</v>
      </c>
      <c r="B258" s="5" t="str">
        <f>"36412021123109153869713"</f>
        <v>36412021123109153869713</v>
      </c>
      <c r="C258" s="5" t="s">
        <v>12</v>
      </c>
      <c r="D258" s="5" t="str">
        <f>"王丽新"</f>
        <v>王丽新</v>
      </c>
      <c r="E258" s="5" t="str">
        <f t="shared" si="29"/>
        <v>女</v>
      </c>
      <c r="F258" s="5" t="str">
        <f t="shared" si="28"/>
        <v>汉族</v>
      </c>
    </row>
    <row r="259" ht="30" customHeight="1" spans="1:6">
      <c r="A259" s="5">
        <v>257</v>
      </c>
      <c r="B259" s="5" t="str">
        <f>"36412021123114285870729"</f>
        <v>36412021123114285870729</v>
      </c>
      <c r="C259" s="5" t="s">
        <v>12</v>
      </c>
      <c r="D259" s="5" t="str">
        <f>"陈春妹"</f>
        <v>陈春妹</v>
      </c>
      <c r="E259" s="5" t="str">
        <f t="shared" si="29"/>
        <v>女</v>
      </c>
      <c r="F259" s="5" t="str">
        <f t="shared" si="28"/>
        <v>汉族</v>
      </c>
    </row>
    <row r="260" ht="30" customHeight="1" spans="1:6">
      <c r="A260" s="5">
        <v>258</v>
      </c>
      <c r="B260" s="5" t="str">
        <f>"36412021123116105870983"</f>
        <v>36412021123116105870983</v>
      </c>
      <c r="C260" s="5" t="s">
        <v>12</v>
      </c>
      <c r="D260" s="5" t="str">
        <f>"赵林梅"</f>
        <v>赵林梅</v>
      </c>
      <c r="E260" s="5" t="str">
        <f t="shared" si="29"/>
        <v>女</v>
      </c>
      <c r="F260" s="5" t="str">
        <f>"黎族"</f>
        <v>黎族</v>
      </c>
    </row>
    <row r="261" ht="30" customHeight="1" spans="1:6">
      <c r="A261" s="5">
        <v>259</v>
      </c>
      <c r="B261" s="5" t="str">
        <f>"36412021123120320271280"</f>
        <v>36412021123120320271280</v>
      </c>
      <c r="C261" s="5" t="s">
        <v>12</v>
      </c>
      <c r="D261" s="5" t="str">
        <f>"韩伟伟"</f>
        <v>韩伟伟</v>
      </c>
      <c r="E261" s="5" t="str">
        <f>"男"</f>
        <v>男</v>
      </c>
      <c r="F261" s="5" t="str">
        <f>"汉族"</f>
        <v>汉族</v>
      </c>
    </row>
    <row r="262" ht="30" customHeight="1" spans="1:6">
      <c r="A262" s="5">
        <v>260</v>
      </c>
      <c r="B262" s="5" t="str">
        <f>"36412022010109454271509"</f>
        <v>36412022010109454271509</v>
      </c>
      <c r="C262" s="5" t="s">
        <v>12</v>
      </c>
      <c r="D262" s="5" t="str">
        <f>"于珊珊"</f>
        <v>于珊珊</v>
      </c>
      <c r="E262" s="5" t="str">
        <f t="shared" ref="E262:E268" si="30">"女"</f>
        <v>女</v>
      </c>
      <c r="F262" s="5" t="str">
        <f>"汉族"</f>
        <v>汉族</v>
      </c>
    </row>
    <row r="263" ht="30" customHeight="1" spans="1:6">
      <c r="A263" s="5">
        <v>261</v>
      </c>
      <c r="B263" s="5" t="str">
        <f>"36412022010113404871809"</f>
        <v>36412022010113404871809</v>
      </c>
      <c r="C263" s="5" t="s">
        <v>12</v>
      </c>
      <c r="D263" s="5" t="str">
        <f>"符海妹"</f>
        <v>符海妹</v>
      </c>
      <c r="E263" s="5" t="str">
        <f t="shared" si="30"/>
        <v>女</v>
      </c>
      <c r="F263" s="5" t="str">
        <f>"汉族"</f>
        <v>汉族</v>
      </c>
    </row>
    <row r="264" ht="30" customHeight="1" spans="1:6">
      <c r="A264" s="5">
        <v>262</v>
      </c>
      <c r="B264" s="5" t="str">
        <f>"36412022010114014971834"</f>
        <v>36412022010114014971834</v>
      </c>
      <c r="C264" s="5" t="s">
        <v>12</v>
      </c>
      <c r="D264" s="5" t="str">
        <f>"程悦"</f>
        <v>程悦</v>
      </c>
      <c r="E264" s="5" t="str">
        <f t="shared" si="30"/>
        <v>女</v>
      </c>
      <c r="F264" s="5" t="str">
        <f>"汉族"</f>
        <v>汉族</v>
      </c>
    </row>
    <row r="265" ht="30" customHeight="1" spans="1:6">
      <c r="A265" s="5">
        <v>263</v>
      </c>
      <c r="B265" s="5" t="str">
        <f>"36412022010115435871923"</f>
        <v>36412022010115435871923</v>
      </c>
      <c r="C265" s="5" t="s">
        <v>12</v>
      </c>
      <c r="D265" s="5" t="str">
        <f>"徐婉卿"</f>
        <v>徐婉卿</v>
      </c>
      <c r="E265" s="5" t="str">
        <f t="shared" si="30"/>
        <v>女</v>
      </c>
      <c r="F265" s="5" t="str">
        <f>"黎族"</f>
        <v>黎族</v>
      </c>
    </row>
    <row r="266" ht="30" customHeight="1" spans="1:6">
      <c r="A266" s="5">
        <v>264</v>
      </c>
      <c r="B266" s="5" t="str">
        <f>"36412022010120450072199"</f>
        <v>36412022010120450072199</v>
      </c>
      <c r="C266" s="5" t="s">
        <v>12</v>
      </c>
      <c r="D266" s="5" t="str">
        <f>"符阳春"</f>
        <v>符阳春</v>
      </c>
      <c r="E266" s="5" t="str">
        <f t="shared" si="30"/>
        <v>女</v>
      </c>
      <c r="F266" s="5" t="str">
        <f>"黎族"</f>
        <v>黎族</v>
      </c>
    </row>
    <row r="267" ht="30" customHeight="1" spans="1:6">
      <c r="A267" s="5">
        <v>265</v>
      </c>
      <c r="B267" s="5" t="str">
        <f>"36412022010214043172835"</f>
        <v>36412022010214043172835</v>
      </c>
      <c r="C267" s="5" t="s">
        <v>12</v>
      </c>
      <c r="D267" s="5" t="str">
        <f>"周桃菊"</f>
        <v>周桃菊</v>
      </c>
      <c r="E267" s="5" t="str">
        <f t="shared" si="30"/>
        <v>女</v>
      </c>
      <c r="F267" s="5" t="str">
        <f t="shared" ref="F267:F278" si="31">"汉族"</f>
        <v>汉族</v>
      </c>
    </row>
    <row r="268" ht="30" customHeight="1" spans="1:6">
      <c r="A268" s="5">
        <v>266</v>
      </c>
      <c r="B268" s="5" t="str">
        <f>"36412022010219574673211"</f>
        <v>36412022010219574673211</v>
      </c>
      <c r="C268" s="5" t="s">
        <v>12</v>
      </c>
      <c r="D268" s="5" t="str">
        <f>"孟海岸"</f>
        <v>孟海岸</v>
      </c>
      <c r="E268" s="5" t="str">
        <f t="shared" si="30"/>
        <v>女</v>
      </c>
      <c r="F268" s="5" t="str">
        <f t="shared" si="31"/>
        <v>汉族</v>
      </c>
    </row>
    <row r="269" ht="30" customHeight="1" spans="1:6">
      <c r="A269" s="5">
        <v>267</v>
      </c>
      <c r="B269" s="5" t="str">
        <f>"36412022010223005973410"</f>
        <v>36412022010223005973410</v>
      </c>
      <c r="C269" s="5" t="s">
        <v>12</v>
      </c>
      <c r="D269" s="5" t="str">
        <f>"张强"</f>
        <v>张强</v>
      </c>
      <c r="E269" s="5" t="str">
        <f>"男"</f>
        <v>男</v>
      </c>
      <c r="F269" s="5" t="str">
        <f t="shared" si="31"/>
        <v>汉族</v>
      </c>
    </row>
    <row r="270" ht="30" customHeight="1" spans="1:6">
      <c r="A270" s="5">
        <v>268</v>
      </c>
      <c r="B270" s="5" t="str">
        <f>"36412022010317050975752"</f>
        <v>36412022010317050975752</v>
      </c>
      <c r="C270" s="5" t="s">
        <v>12</v>
      </c>
      <c r="D270" s="5" t="str">
        <f>"许小慧"</f>
        <v>许小慧</v>
      </c>
      <c r="E270" s="5" t="str">
        <f t="shared" ref="E270:E289" si="32">"女"</f>
        <v>女</v>
      </c>
      <c r="F270" s="5" t="str">
        <f t="shared" si="31"/>
        <v>汉族</v>
      </c>
    </row>
    <row r="271" ht="30" customHeight="1" spans="1:6">
      <c r="A271" s="5">
        <v>269</v>
      </c>
      <c r="B271" s="5" t="str">
        <f>"36412022010317052875755"</f>
        <v>36412022010317052875755</v>
      </c>
      <c r="C271" s="5" t="s">
        <v>12</v>
      </c>
      <c r="D271" s="5" t="str">
        <f>"王哲娜"</f>
        <v>王哲娜</v>
      </c>
      <c r="E271" s="5" t="str">
        <f t="shared" si="32"/>
        <v>女</v>
      </c>
      <c r="F271" s="5" t="str">
        <f t="shared" si="31"/>
        <v>汉族</v>
      </c>
    </row>
    <row r="272" ht="30" customHeight="1" spans="1:6">
      <c r="A272" s="5">
        <v>270</v>
      </c>
      <c r="B272" s="5" t="str">
        <f>"36412022010320340876419"</f>
        <v>36412022010320340876419</v>
      </c>
      <c r="C272" s="5" t="s">
        <v>12</v>
      </c>
      <c r="D272" s="5" t="str">
        <f>"李黑姑"</f>
        <v>李黑姑</v>
      </c>
      <c r="E272" s="5" t="str">
        <f t="shared" si="32"/>
        <v>女</v>
      </c>
      <c r="F272" s="5" t="str">
        <f t="shared" si="31"/>
        <v>汉族</v>
      </c>
    </row>
    <row r="273" ht="30" customHeight="1" spans="1:6">
      <c r="A273" s="5">
        <v>271</v>
      </c>
      <c r="B273" s="5" t="str">
        <f>"36412022010322062776715"</f>
        <v>36412022010322062776715</v>
      </c>
      <c r="C273" s="5" t="s">
        <v>12</v>
      </c>
      <c r="D273" s="5" t="str">
        <f>"朱博坚"</f>
        <v>朱博坚</v>
      </c>
      <c r="E273" s="5" t="str">
        <f t="shared" si="32"/>
        <v>女</v>
      </c>
      <c r="F273" s="5" t="str">
        <f t="shared" si="31"/>
        <v>汉族</v>
      </c>
    </row>
    <row r="274" ht="30" customHeight="1" spans="1:6">
      <c r="A274" s="5">
        <v>272</v>
      </c>
      <c r="B274" s="5" t="str">
        <f>"36412022010410060477960"</f>
        <v>36412022010410060477960</v>
      </c>
      <c r="C274" s="5" t="s">
        <v>12</v>
      </c>
      <c r="D274" s="5" t="str">
        <f>"李流彬"</f>
        <v>李流彬</v>
      </c>
      <c r="E274" s="5" t="str">
        <f t="shared" si="32"/>
        <v>女</v>
      </c>
      <c r="F274" s="5" t="str">
        <f t="shared" si="31"/>
        <v>汉族</v>
      </c>
    </row>
    <row r="275" ht="30" customHeight="1" spans="1:6">
      <c r="A275" s="5">
        <v>273</v>
      </c>
      <c r="B275" s="5" t="str">
        <f>"36412022010410062977968"</f>
        <v>36412022010410062977968</v>
      </c>
      <c r="C275" s="5" t="s">
        <v>12</v>
      </c>
      <c r="D275" s="5" t="str">
        <f>"卢志欢"</f>
        <v>卢志欢</v>
      </c>
      <c r="E275" s="5" t="str">
        <f t="shared" si="32"/>
        <v>女</v>
      </c>
      <c r="F275" s="5" t="str">
        <f t="shared" si="31"/>
        <v>汉族</v>
      </c>
    </row>
    <row r="276" ht="30" customHeight="1" spans="1:6">
      <c r="A276" s="5">
        <v>274</v>
      </c>
      <c r="B276" s="5" t="str">
        <f>"36412022010410091077994"</f>
        <v>36412022010410091077994</v>
      </c>
      <c r="C276" s="5" t="s">
        <v>12</v>
      </c>
      <c r="D276" s="5" t="str">
        <f>"曾敬娥"</f>
        <v>曾敬娥</v>
      </c>
      <c r="E276" s="5" t="str">
        <f t="shared" si="32"/>
        <v>女</v>
      </c>
      <c r="F276" s="5" t="str">
        <f t="shared" si="31"/>
        <v>汉族</v>
      </c>
    </row>
    <row r="277" ht="30" customHeight="1" spans="1:6">
      <c r="A277" s="5">
        <v>275</v>
      </c>
      <c r="B277" s="5" t="str">
        <f>"36412022010415393379957"</f>
        <v>36412022010415393379957</v>
      </c>
      <c r="C277" s="5" t="s">
        <v>12</v>
      </c>
      <c r="D277" s="5" t="str">
        <f>"黄潇"</f>
        <v>黄潇</v>
      </c>
      <c r="E277" s="5" t="str">
        <f t="shared" si="32"/>
        <v>女</v>
      </c>
      <c r="F277" s="5" t="str">
        <f t="shared" si="31"/>
        <v>汉族</v>
      </c>
    </row>
    <row r="278" ht="30" customHeight="1" spans="1:6">
      <c r="A278" s="5">
        <v>276</v>
      </c>
      <c r="B278" s="5" t="str">
        <f>"36412022010417020580432"</f>
        <v>36412022010417020580432</v>
      </c>
      <c r="C278" s="5" t="s">
        <v>12</v>
      </c>
      <c r="D278" s="5" t="str">
        <f>"高秀皇"</f>
        <v>高秀皇</v>
      </c>
      <c r="E278" s="5" t="str">
        <f t="shared" si="32"/>
        <v>女</v>
      </c>
      <c r="F278" s="5" t="str">
        <f t="shared" si="31"/>
        <v>汉族</v>
      </c>
    </row>
    <row r="279" ht="30" customHeight="1" spans="1:6">
      <c r="A279" s="5">
        <v>277</v>
      </c>
      <c r="B279" s="5" t="str">
        <f>"36412022010419155281061"</f>
        <v>36412022010419155281061</v>
      </c>
      <c r="C279" s="5" t="s">
        <v>12</v>
      </c>
      <c r="D279" s="5" t="str">
        <f>"符万方"</f>
        <v>符万方</v>
      </c>
      <c r="E279" s="5" t="str">
        <f t="shared" si="32"/>
        <v>女</v>
      </c>
      <c r="F279" s="5" t="str">
        <f>"黎族"</f>
        <v>黎族</v>
      </c>
    </row>
    <row r="280" ht="30" customHeight="1" spans="1:6">
      <c r="A280" s="5">
        <v>278</v>
      </c>
      <c r="B280" s="5" t="str">
        <f>"36412022010420290681416"</f>
        <v>36412022010420290681416</v>
      </c>
      <c r="C280" s="5" t="s">
        <v>12</v>
      </c>
      <c r="D280" s="5" t="str">
        <f>"陈海娜"</f>
        <v>陈海娜</v>
      </c>
      <c r="E280" s="5" t="str">
        <f t="shared" si="32"/>
        <v>女</v>
      </c>
      <c r="F280" s="5" t="str">
        <f>"汉族"</f>
        <v>汉族</v>
      </c>
    </row>
    <row r="281" ht="30" customHeight="1" spans="1:6">
      <c r="A281" s="5">
        <v>279</v>
      </c>
      <c r="B281" s="5" t="str">
        <f>"36412022010420320981435"</f>
        <v>36412022010420320981435</v>
      </c>
      <c r="C281" s="5" t="s">
        <v>12</v>
      </c>
      <c r="D281" s="5" t="str">
        <f>"钟经美"</f>
        <v>钟经美</v>
      </c>
      <c r="E281" s="5" t="str">
        <f t="shared" si="32"/>
        <v>女</v>
      </c>
      <c r="F281" s="5" t="str">
        <f>"汉族"</f>
        <v>汉族</v>
      </c>
    </row>
    <row r="282" ht="30" customHeight="1" spans="1:6">
      <c r="A282" s="5">
        <v>280</v>
      </c>
      <c r="B282" s="5" t="str">
        <f>"36412022010421014481581"</f>
        <v>36412022010421014481581</v>
      </c>
      <c r="C282" s="5" t="s">
        <v>12</v>
      </c>
      <c r="D282" s="5" t="str">
        <f>"许秋香"</f>
        <v>许秋香</v>
      </c>
      <c r="E282" s="5" t="str">
        <f t="shared" si="32"/>
        <v>女</v>
      </c>
      <c r="F282" s="5" t="str">
        <f>"汉族"</f>
        <v>汉族</v>
      </c>
    </row>
    <row r="283" ht="30" customHeight="1" spans="1:6">
      <c r="A283" s="5">
        <v>281</v>
      </c>
      <c r="B283" s="5" t="str">
        <f>"36412022010421071581613"</f>
        <v>36412022010421071581613</v>
      </c>
      <c r="C283" s="5" t="s">
        <v>12</v>
      </c>
      <c r="D283" s="5" t="str">
        <f>"蔡彩霞"</f>
        <v>蔡彩霞</v>
      </c>
      <c r="E283" s="5" t="str">
        <f t="shared" si="32"/>
        <v>女</v>
      </c>
      <c r="F283" s="5" t="str">
        <f>"汉族"</f>
        <v>汉族</v>
      </c>
    </row>
    <row r="284" ht="30" customHeight="1" spans="1:6">
      <c r="A284" s="5">
        <v>282</v>
      </c>
      <c r="B284" s="5" t="str">
        <f>"36412022010423024882069"</f>
        <v>36412022010423024882069</v>
      </c>
      <c r="C284" s="5" t="s">
        <v>12</v>
      </c>
      <c r="D284" s="5" t="str">
        <f>"周影"</f>
        <v>周影</v>
      </c>
      <c r="E284" s="5" t="str">
        <f t="shared" si="32"/>
        <v>女</v>
      </c>
      <c r="F284" s="5" t="str">
        <f>"蒙古族"</f>
        <v>蒙古族</v>
      </c>
    </row>
    <row r="285" ht="30" customHeight="1" spans="1:6">
      <c r="A285" s="5">
        <v>283</v>
      </c>
      <c r="B285" s="5" t="str">
        <f>"36412022010423114782095"</f>
        <v>36412022010423114782095</v>
      </c>
      <c r="C285" s="5" t="s">
        <v>12</v>
      </c>
      <c r="D285" s="5" t="str">
        <f>"吴丽婷"</f>
        <v>吴丽婷</v>
      </c>
      <c r="E285" s="5" t="str">
        <f t="shared" si="32"/>
        <v>女</v>
      </c>
      <c r="F285" s="5" t="str">
        <f t="shared" ref="F285:F290" si="33">"汉族"</f>
        <v>汉族</v>
      </c>
    </row>
    <row r="286" ht="30" customHeight="1" spans="1:6">
      <c r="A286" s="5">
        <v>284</v>
      </c>
      <c r="B286" s="5" t="str">
        <f>"36412022010509413982725"</f>
        <v>36412022010509413982725</v>
      </c>
      <c r="C286" s="5" t="s">
        <v>12</v>
      </c>
      <c r="D286" s="5" t="str">
        <f>"王雪彤"</f>
        <v>王雪彤</v>
      </c>
      <c r="E286" s="5" t="str">
        <f t="shared" si="32"/>
        <v>女</v>
      </c>
      <c r="F286" s="5" t="str">
        <f t="shared" si="33"/>
        <v>汉族</v>
      </c>
    </row>
    <row r="287" ht="30" customHeight="1" spans="1:6">
      <c r="A287" s="5">
        <v>285</v>
      </c>
      <c r="B287" s="5" t="str">
        <f>"36412022010510491583187"</f>
        <v>36412022010510491583187</v>
      </c>
      <c r="C287" s="5" t="s">
        <v>12</v>
      </c>
      <c r="D287" s="5" t="str">
        <f>"冯彩莲"</f>
        <v>冯彩莲</v>
      </c>
      <c r="E287" s="5" t="str">
        <f t="shared" si="32"/>
        <v>女</v>
      </c>
      <c r="F287" s="5" t="str">
        <f t="shared" si="33"/>
        <v>汉族</v>
      </c>
    </row>
    <row r="288" ht="30" customHeight="1" spans="1:6">
      <c r="A288" s="5">
        <v>286</v>
      </c>
      <c r="B288" s="5" t="str">
        <f>"36412022010512544183861"</f>
        <v>36412022010512544183861</v>
      </c>
      <c r="C288" s="5" t="s">
        <v>12</v>
      </c>
      <c r="D288" s="5" t="str">
        <f>"陈晓慧"</f>
        <v>陈晓慧</v>
      </c>
      <c r="E288" s="5" t="str">
        <f t="shared" si="32"/>
        <v>女</v>
      </c>
      <c r="F288" s="5" t="str">
        <f t="shared" si="33"/>
        <v>汉族</v>
      </c>
    </row>
    <row r="289" ht="30" customHeight="1" spans="1:6">
      <c r="A289" s="5">
        <v>287</v>
      </c>
      <c r="B289" s="5" t="str">
        <f>"36412022010515495284744"</f>
        <v>36412022010515495284744</v>
      </c>
      <c r="C289" s="5" t="s">
        <v>12</v>
      </c>
      <c r="D289" s="5" t="str">
        <f>"徐鸿惠"</f>
        <v>徐鸿惠</v>
      </c>
      <c r="E289" s="5" t="str">
        <f t="shared" si="32"/>
        <v>女</v>
      </c>
      <c r="F289" s="5" t="str">
        <f t="shared" si="33"/>
        <v>汉族</v>
      </c>
    </row>
    <row r="290" ht="30" customHeight="1" spans="1:6">
      <c r="A290" s="5">
        <v>288</v>
      </c>
      <c r="B290" s="5" t="str">
        <f>"36412022010518264285451"</f>
        <v>36412022010518264285451</v>
      </c>
      <c r="C290" s="5" t="s">
        <v>12</v>
      </c>
      <c r="D290" s="5" t="str">
        <f>"陈俊华"</f>
        <v>陈俊华</v>
      </c>
      <c r="E290" s="5" t="str">
        <f>"男"</f>
        <v>男</v>
      </c>
      <c r="F290" s="5" t="str">
        <f t="shared" si="33"/>
        <v>汉族</v>
      </c>
    </row>
    <row r="291" ht="30" customHeight="1" spans="1:6">
      <c r="A291" s="5">
        <v>289</v>
      </c>
      <c r="B291" s="5" t="str">
        <f>"36412022010518432485507"</f>
        <v>36412022010518432485507</v>
      </c>
      <c r="C291" s="5" t="s">
        <v>12</v>
      </c>
      <c r="D291" s="5" t="str">
        <f>"符美晶"</f>
        <v>符美晶</v>
      </c>
      <c r="E291" s="5" t="str">
        <f>"女"</f>
        <v>女</v>
      </c>
      <c r="F291" s="5" t="str">
        <f>"黎族"</f>
        <v>黎族</v>
      </c>
    </row>
    <row r="292" ht="30" customHeight="1" spans="1:6">
      <c r="A292" s="5">
        <v>290</v>
      </c>
      <c r="B292" s="5" t="str">
        <f>"36412022010520440985998"</f>
        <v>36412022010520440985998</v>
      </c>
      <c r="C292" s="5" t="s">
        <v>12</v>
      </c>
      <c r="D292" s="5" t="str">
        <f>"吴维雅"</f>
        <v>吴维雅</v>
      </c>
      <c r="E292" s="5" t="str">
        <f>"男"</f>
        <v>男</v>
      </c>
      <c r="F292" s="5" t="str">
        <f t="shared" ref="F292:F298" si="34">"汉族"</f>
        <v>汉族</v>
      </c>
    </row>
    <row r="293" ht="30" customHeight="1" spans="1:6">
      <c r="A293" s="5">
        <v>291</v>
      </c>
      <c r="B293" s="5" t="str">
        <f>"36412022010521582286365"</f>
        <v>36412022010521582286365</v>
      </c>
      <c r="C293" s="5" t="s">
        <v>12</v>
      </c>
      <c r="D293" s="5" t="str">
        <f>"黄艳"</f>
        <v>黄艳</v>
      </c>
      <c r="E293" s="5" t="str">
        <f>"女"</f>
        <v>女</v>
      </c>
      <c r="F293" s="5" t="str">
        <f t="shared" si="34"/>
        <v>汉族</v>
      </c>
    </row>
    <row r="294" ht="30" customHeight="1" spans="1:6">
      <c r="A294" s="5">
        <v>292</v>
      </c>
      <c r="B294" s="5" t="str">
        <f>"36412022010522440286539"</f>
        <v>36412022010522440286539</v>
      </c>
      <c r="C294" s="5" t="s">
        <v>12</v>
      </c>
      <c r="D294" s="5" t="str">
        <f>"李小丽"</f>
        <v>李小丽</v>
      </c>
      <c r="E294" s="5" t="str">
        <f>"女"</f>
        <v>女</v>
      </c>
      <c r="F294" s="5" t="str">
        <f t="shared" si="34"/>
        <v>汉族</v>
      </c>
    </row>
    <row r="295" ht="30" customHeight="1" spans="1:6">
      <c r="A295" s="5">
        <v>293</v>
      </c>
      <c r="B295" s="5" t="str">
        <f>"36412022010609413787132"</f>
        <v>36412022010609413787132</v>
      </c>
      <c r="C295" s="5" t="s">
        <v>12</v>
      </c>
      <c r="D295" s="5" t="str">
        <f>"柳重春"</f>
        <v>柳重春</v>
      </c>
      <c r="E295" s="5" t="str">
        <f>"男"</f>
        <v>男</v>
      </c>
      <c r="F295" s="5" t="str">
        <f t="shared" si="34"/>
        <v>汉族</v>
      </c>
    </row>
    <row r="296" ht="30" customHeight="1" spans="1:6">
      <c r="A296" s="5">
        <v>294</v>
      </c>
      <c r="B296" s="5" t="str">
        <f>"36412022010622412390184"</f>
        <v>36412022010622412390184</v>
      </c>
      <c r="C296" s="5" t="s">
        <v>12</v>
      </c>
      <c r="D296" s="5" t="str">
        <f>"王娆婧"</f>
        <v>王娆婧</v>
      </c>
      <c r="E296" s="5" t="str">
        <f>"女"</f>
        <v>女</v>
      </c>
      <c r="F296" s="5" t="str">
        <f t="shared" si="34"/>
        <v>汉族</v>
      </c>
    </row>
    <row r="297" ht="30" customHeight="1" spans="1:6">
      <c r="A297" s="5">
        <v>295</v>
      </c>
      <c r="B297" s="5" t="str">
        <f>"36412022010711522591221"</f>
        <v>36412022010711522591221</v>
      </c>
      <c r="C297" s="5" t="s">
        <v>12</v>
      </c>
      <c r="D297" s="5" t="str">
        <f>"孙吉涵"</f>
        <v>孙吉涵</v>
      </c>
      <c r="E297" s="5" t="str">
        <f>"女"</f>
        <v>女</v>
      </c>
      <c r="F297" s="5" t="str">
        <f t="shared" si="34"/>
        <v>汉族</v>
      </c>
    </row>
    <row r="298" ht="30" customHeight="1" spans="1:6">
      <c r="A298" s="5">
        <v>296</v>
      </c>
      <c r="B298" s="5" t="str">
        <f>"36412022010715410992025"</f>
        <v>36412022010715410992025</v>
      </c>
      <c r="C298" s="5" t="s">
        <v>12</v>
      </c>
      <c r="D298" s="5" t="str">
        <f>"林明桂"</f>
        <v>林明桂</v>
      </c>
      <c r="E298" s="5" t="str">
        <f>"女"</f>
        <v>女</v>
      </c>
      <c r="F298" s="5" t="str">
        <f t="shared" si="34"/>
        <v>汉族</v>
      </c>
    </row>
    <row r="299" ht="30" customHeight="1" spans="1:6">
      <c r="A299" s="5">
        <v>297</v>
      </c>
      <c r="B299" s="5" t="str">
        <f>"36412022010717385792445"</f>
        <v>36412022010717385792445</v>
      </c>
      <c r="C299" s="5" t="s">
        <v>12</v>
      </c>
      <c r="D299" s="5" t="str">
        <f>"苏天星"</f>
        <v>苏天星</v>
      </c>
      <c r="E299" s="5" t="str">
        <f>"男"</f>
        <v>男</v>
      </c>
      <c r="F299" s="5" t="str">
        <f>"黎族"</f>
        <v>黎族</v>
      </c>
    </row>
    <row r="300" ht="30" customHeight="1" spans="1:6">
      <c r="A300" s="5">
        <v>298</v>
      </c>
      <c r="B300" s="5" t="str">
        <f>"36412022010723164393004"</f>
        <v>36412022010723164393004</v>
      </c>
      <c r="C300" s="5" t="s">
        <v>12</v>
      </c>
      <c r="D300" s="5" t="str">
        <f>"陈鹏"</f>
        <v>陈鹏</v>
      </c>
      <c r="E300" s="5" t="str">
        <f>"男"</f>
        <v>男</v>
      </c>
      <c r="F300" s="5" t="str">
        <f>"汉族"</f>
        <v>汉族</v>
      </c>
    </row>
    <row r="301" ht="30" customHeight="1" spans="1:6">
      <c r="A301" s="5">
        <v>299</v>
      </c>
      <c r="B301" s="5" t="str">
        <f>"36412022010809140093135"</f>
        <v>36412022010809140093135</v>
      </c>
      <c r="C301" s="5" t="s">
        <v>12</v>
      </c>
      <c r="D301" s="5" t="str">
        <f>"林福爽"</f>
        <v>林福爽</v>
      </c>
      <c r="E301" s="5" t="str">
        <f>"女"</f>
        <v>女</v>
      </c>
      <c r="F301" s="5" t="str">
        <f>"汉族"</f>
        <v>汉族</v>
      </c>
    </row>
    <row r="302" ht="30" customHeight="1" spans="1:6">
      <c r="A302" s="5">
        <v>300</v>
      </c>
      <c r="B302" s="5" t="str">
        <f>"36412022010815131993599"</f>
        <v>36412022010815131993599</v>
      </c>
      <c r="C302" s="5" t="s">
        <v>12</v>
      </c>
      <c r="D302" s="5" t="str">
        <f>"陈雨洁"</f>
        <v>陈雨洁</v>
      </c>
      <c r="E302" s="5" t="str">
        <f>"女"</f>
        <v>女</v>
      </c>
      <c r="F302" s="5" t="str">
        <f>"汉族"</f>
        <v>汉族</v>
      </c>
    </row>
    <row r="303" ht="30" customHeight="1" spans="1:6">
      <c r="A303" s="5">
        <v>301</v>
      </c>
      <c r="B303" s="5" t="str">
        <f>"36412022010815490693658"</f>
        <v>36412022010815490693658</v>
      </c>
      <c r="C303" s="5" t="s">
        <v>12</v>
      </c>
      <c r="D303" s="5" t="str">
        <f>"吴泰彬"</f>
        <v>吴泰彬</v>
      </c>
      <c r="E303" s="5" t="str">
        <f>"男"</f>
        <v>男</v>
      </c>
      <c r="F303" s="5" t="str">
        <f>"黎族"</f>
        <v>黎族</v>
      </c>
    </row>
    <row r="304" ht="30" customHeight="1" spans="1:6">
      <c r="A304" s="5">
        <v>302</v>
      </c>
      <c r="B304" s="5" t="str">
        <f>"36412022010819463294042"</f>
        <v>36412022010819463294042</v>
      </c>
      <c r="C304" s="5" t="s">
        <v>12</v>
      </c>
      <c r="D304" s="5" t="str">
        <f>"张玉爱"</f>
        <v>张玉爱</v>
      </c>
      <c r="E304" s="5" t="str">
        <f t="shared" ref="E304:E315" si="35">"女"</f>
        <v>女</v>
      </c>
      <c r="F304" s="5" t="str">
        <f>"汉族"</f>
        <v>汉族</v>
      </c>
    </row>
    <row r="305" ht="30" customHeight="1" spans="1:6">
      <c r="A305" s="5">
        <v>303</v>
      </c>
      <c r="B305" s="5" t="str">
        <f>"36412022010821033094200"</f>
        <v>36412022010821033094200</v>
      </c>
      <c r="C305" s="5" t="s">
        <v>12</v>
      </c>
      <c r="D305" s="5" t="str">
        <f>"钟文玲"</f>
        <v>钟文玲</v>
      </c>
      <c r="E305" s="5" t="str">
        <f t="shared" si="35"/>
        <v>女</v>
      </c>
      <c r="F305" s="5" t="str">
        <f>"汉族"</f>
        <v>汉族</v>
      </c>
    </row>
    <row r="306" ht="30" customHeight="1" spans="1:6">
      <c r="A306" s="5">
        <v>304</v>
      </c>
      <c r="B306" s="5" t="str">
        <f>"36412022010910061694712"</f>
        <v>36412022010910061694712</v>
      </c>
      <c r="C306" s="5" t="s">
        <v>12</v>
      </c>
      <c r="D306" s="5" t="str">
        <f>"高雨飘"</f>
        <v>高雨飘</v>
      </c>
      <c r="E306" s="5" t="str">
        <f t="shared" si="35"/>
        <v>女</v>
      </c>
      <c r="F306" s="5" t="str">
        <f>"黎族"</f>
        <v>黎族</v>
      </c>
    </row>
    <row r="307" ht="30" customHeight="1" spans="1:6">
      <c r="A307" s="5">
        <v>305</v>
      </c>
      <c r="B307" s="5" t="str">
        <f>"36412022010910352694778"</f>
        <v>36412022010910352694778</v>
      </c>
      <c r="C307" s="5" t="s">
        <v>12</v>
      </c>
      <c r="D307" s="5" t="str">
        <f>"吴福慧"</f>
        <v>吴福慧</v>
      </c>
      <c r="E307" s="5" t="str">
        <f t="shared" si="35"/>
        <v>女</v>
      </c>
      <c r="F307" s="5" t="str">
        <f t="shared" ref="F307:F339" si="36">"汉族"</f>
        <v>汉族</v>
      </c>
    </row>
    <row r="308" ht="30" customHeight="1" spans="1:6">
      <c r="A308" s="5">
        <v>306</v>
      </c>
      <c r="B308" s="5" t="str">
        <f>"36412022010910421094802"</f>
        <v>36412022010910421094802</v>
      </c>
      <c r="C308" s="5" t="s">
        <v>12</v>
      </c>
      <c r="D308" s="5" t="str">
        <f>"谢思思"</f>
        <v>谢思思</v>
      </c>
      <c r="E308" s="5" t="str">
        <f t="shared" si="35"/>
        <v>女</v>
      </c>
      <c r="F308" s="5" t="str">
        <f t="shared" si="36"/>
        <v>汉族</v>
      </c>
    </row>
    <row r="309" ht="30" customHeight="1" spans="1:6">
      <c r="A309" s="5">
        <v>307</v>
      </c>
      <c r="B309" s="5" t="str">
        <f>"36412022010911023094865"</f>
        <v>36412022010911023094865</v>
      </c>
      <c r="C309" s="5" t="s">
        <v>12</v>
      </c>
      <c r="D309" s="5" t="str">
        <f>"王光静"</f>
        <v>王光静</v>
      </c>
      <c r="E309" s="5" t="str">
        <f t="shared" si="35"/>
        <v>女</v>
      </c>
      <c r="F309" s="5" t="str">
        <f t="shared" si="36"/>
        <v>汉族</v>
      </c>
    </row>
    <row r="310" ht="30" customHeight="1" spans="1:6">
      <c r="A310" s="5">
        <v>308</v>
      </c>
      <c r="B310" s="5" t="str">
        <f>"36412022010918364095756"</f>
        <v>36412022010918364095756</v>
      </c>
      <c r="C310" s="5" t="s">
        <v>12</v>
      </c>
      <c r="D310" s="5" t="str">
        <f>"陈婷婷"</f>
        <v>陈婷婷</v>
      </c>
      <c r="E310" s="5" t="str">
        <f t="shared" si="35"/>
        <v>女</v>
      </c>
      <c r="F310" s="5" t="str">
        <f t="shared" si="36"/>
        <v>汉族</v>
      </c>
    </row>
    <row r="311" ht="30" customHeight="1" spans="1:6">
      <c r="A311" s="5">
        <v>309</v>
      </c>
      <c r="B311" s="5" t="str">
        <f>"36412022010923292796221"</f>
        <v>36412022010923292796221</v>
      </c>
      <c r="C311" s="5" t="s">
        <v>12</v>
      </c>
      <c r="D311" s="5" t="str">
        <f>"彭园园"</f>
        <v>彭园园</v>
      </c>
      <c r="E311" s="5" t="str">
        <f t="shared" si="35"/>
        <v>女</v>
      </c>
      <c r="F311" s="5" t="str">
        <f t="shared" si="36"/>
        <v>汉族</v>
      </c>
    </row>
    <row r="312" ht="30" customHeight="1" spans="1:6">
      <c r="A312" s="5">
        <v>310</v>
      </c>
      <c r="B312" s="5" t="str">
        <f>"36412022011009050296425"</f>
        <v>36412022011009050296425</v>
      </c>
      <c r="C312" s="5" t="s">
        <v>12</v>
      </c>
      <c r="D312" s="5" t="str">
        <f>"班晓彤"</f>
        <v>班晓彤</v>
      </c>
      <c r="E312" s="5" t="str">
        <f t="shared" si="35"/>
        <v>女</v>
      </c>
      <c r="F312" s="5" t="str">
        <f t="shared" si="36"/>
        <v>汉族</v>
      </c>
    </row>
    <row r="313" ht="30" customHeight="1" spans="1:6">
      <c r="A313" s="5">
        <v>311</v>
      </c>
      <c r="B313" s="5" t="str">
        <f>"36412021123109312169767"</f>
        <v>36412021123109312169767</v>
      </c>
      <c r="C313" s="5" t="s">
        <v>13</v>
      </c>
      <c r="D313" s="5" t="str">
        <f>"谢诗珺"</f>
        <v>谢诗珺</v>
      </c>
      <c r="E313" s="5" t="str">
        <f t="shared" si="35"/>
        <v>女</v>
      </c>
      <c r="F313" s="5" t="str">
        <f t="shared" si="36"/>
        <v>汉族</v>
      </c>
    </row>
    <row r="314" ht="30" customHeight="1" spans="1:6">
      <c r="A314" s="5">
        <v>312</v>
      </c>
      <c r="B314" s="5" t="str">
        <f>"36412021123109361769796"</f>
        <v>36412021123109361769796</v>
      </c>
      <c r="C314" s="5" t="s">
        <v>13</v>
      </c>
      <c r="D314" s="5" t="str">
        <f>"刘珍玲"</f>
        <v>刘珍玲</v>
      </c>
      <c r="E314" s="5" t="str">
        <f t="shared" si="35"/>
        <v>女</v>
      </c>
      <c r="F314" s="5" t="str">
        <f t="shared" si="36"/>
        <v>汉族</v>
      </c>
    </row>
    <row r="315" ht="30" customHeight="1" spans="1:6">
      <c r="A315" s="5">
        <v>313</v>
      </c>
      <c r="B315" s="5" t="str">
        <f>"36412021123112024770408"</f>
        <v>36412021123112024770408</v>
      </c>
      <c r="C315" s="5" t="s">
        <v>13</v>
      </c>
      <c r="D315" s="5" t="str">
        <f>"谢婷"</f>
        <v>谢婷</v>
      </c>
      <c r="E315" s="5" t="str">
        <f t="shared" si="35"/>
        <v>女</v>
      </c>
      <c r="F315" s="5" t="str">
        <f t="shared" si="36"/>
        <v>汉族</v>
      </c>
    </row>
    <row r="316" ht="30" customHeight="1" spans="1:6">
      <c r="A316" s="5">
        <v>314</v>
      </c>
      <c r="B316" s="5" t="str">
        <f>"36412021123116481171072"</f>
        <v>36412021123116481171072</v>
      </c>
      <c r="C316" s="5" t="s">
        <v>13</v>
      </c>
      <c r="D316" s="5" t="str">
        <f>"符运伟"</f>
        <v>符运伟</v>
      </c>
      <c r="E316" s="5" t="str">
        <f>"男"</f>
        <v>男</v>
      </c>
      <c r="F316" s="5" t="str">
        <f t="shared" si="36"/>
        <v>汉族</v>
      </c>
    </row>
    <row r="317" ht="30" customHeight="1" spans="1:6">
      <c r="A317" s="5">
        <v>315</v>
      </c>
      <c r="B317" s="5" t="str">
        <f>"36412021123120413071285"</f>
        <v>36412021123120413071285</v>
      </c>
      <c r="C317" s="5" t="s">
        <v>13</v>
      </c>
      <c r="D317" s="5" t="str">
        <f>"曾尚仁"</f>
        <v>曾尚仁</v>
      </c>
      <c r="E317" s="5" t="str">
        <f>"男"</f>
        <v>男</v>
      </c>
      <c r="F317" s="5" t="str">
        <f t="shared" si="36"/>
        <v>汉族</v>
      </c>
    </row>
    <row r="318" ht="30" customHeight="1" spans="1:6">
      <c r="A318" s="5">
        <v>316</v>
      </c>
      <c r="B318" s="5" t="str">
        <f>"36412022010110391171575"</f>
        <v>36412022010110391171575</v>
      </c>
      <c r="C318" s="5" t="s">
        <v>13</v>
      </c>
      <c r="D318" s="5" t="str">
        <f>"王笑一"</f>
        <v>王笑一</v>
      </c>
      <c r="E318" s="5" t="str">
        <f>"女"</f>
        <v>女</v>
      </c>
      <c r="F318" s="5" t="str">
        <f t="shared" si="36"/>
        <v>汉族</v>
      </c>
    </row>
    <row r="319" ht="30" customHeight="1" spans="1:6">
      <c r="A319" s="5">
        <v>317</v>
      </c>
      <c r="B319" s="5" t="str">
        <f>"36412022010121400372266"</f>
        <v>36412022010121400372266</v>
      </c>
      <c r="C319" s="5" t="s">
        <v>13</v>
      </c>
      <c r="D319" s="5" t="str">
        <f>"尹妃"</f>
        <v>尹妃</v>
      </c>
      <c r="E319" s="5" t="str">
        <f>"女"</f>
        <v>女</v>
      </c>
      <c r="F319" s="5" t="str">
        <f t="shared" si="36"/>
        <v>汉族</v>
      </c>
    </row>
    <row r="320" ht="30" customHeight="1" spans="1:6">
      <c r="A320" s="5">
        <v>318</v>
      </c>
      <c r="B320" s="5" t="str">
        <f>"36412022010312155674662"</f>
        <v>36412022010312155674662</v>
      </c>
      <c r="C320" s="5" t="s">
        <v>13</v>
      </c>
      <c r="D320" s="5" t="str">
        <f>"杨惠"</f>
        <v>杨惠</v>
      </c>
      <c r="E320" s="5" t="str">
        <f>"女"</f>
        <v>女</v>
      </c>
      <c r="F320" s="5" t="str">
        <f t="shared" si="36"/>
        <v>汉族</v>
      </c>
    </row>
    <row r="321" ht="30" customHeight="1" spans="1:6">
      <c r="A321" s="5">
        <v>319</v>
      </c>
      <c r="B321" s="5" t="str">
        <f>"36412022010409390977710"</f>
        <v>36412022010409390977710</v>
      </c>
      <c r="C321" s="5" t="s">
        <v>13</v>
      </c>
      <c r="D321" s="5" t="str">
        <f>"兰王"</f>
        <v>兰王</v>
      </c>
      <c r="E321" s="5" t="str">
        <f>"男"</f>
        <v>男</v>
      </c>
      <c r="F321" s="5" t="str">
        <f t="shared" si="36"/>
        <v>汉族</v>
      </c>
    </row>
    <row r="322" ht="30" customHeight="1" spans="1:6">
      <c r="A322" s="5">
        <v>320</v>
      </c>
      <c r="B322" s="5" t="str">
        <f>"36412022010412451279091"</f>
        <v>36412022010412451279091</v>
      </c>
      <c r="C322" s="5" t="s">
        <v>13</v>
      </c>
      <c r="D322" s="5" t="str">
        <f>"董慧敏"</f>
        <v>董慧敏</v>
      </c>
      <c r="E322" s="5" t="str">
        <f>"女"</f>
        <v>女</v>
      </c>
      <c r="F322" s="5" t="str">
        <f t="shared" si="36"/>
        <v>汉族</v>
      </c>
    </row>
    <row r="323" ht="30" customHeight="1" spans="1:6">
      <c r="A323" s="5">
        <v>321</v>
      </c>
      <c r="B323" s="5" t="str">
        <f>"36412022010414084379430"</f>
        <v>36412022010414084379430</v>
      </c>
      <c r="C323" s="5" t="s">
        <v>13</v>
      </c>
      <c r="D323" s="5" t="str">
        <f>"童丽秋"</f>
        <v>童丽秋</v>
      </c>
      <c r="E323" s="5" t="str">
        <f>"女"</f>
        <v>女</v>
      </c>
      <c r="F323" s="5" t="str">
        <f t="shared" si="36"/>
        <v>汉族</v>
      </c>
    </row>
    <row r="324" ht="30" customHeight="1" spans="1:6">
      <c r="A324" s="5">
        <v>322</v>
      </c>
      <c r="B324" s="5" t="str">
        <f>"36412022010418510280939"</f>
        <v>36412022010418510280939</v>
      </c>
      <c r="C324" s="5" t="s">
        <v>13</v>
      </c>
      <c r="D324" s="5" t="str">
        <f>"贺心成"</f>
        <v>贺心成</v>
      </c>
      <c r="E324" s="5" t="str">
        <f>"男"</f>
        <v>男</v>
      </c>
      <c r="F324" s="5" t="str">
        <f t="shared" si="36"/>
        <v>汉族</v>
      </c>
    </row>
    <row r="325" ht="30" customHeight="1" spans="1:6">
      <c r="A325" s="5">
        <v>323</v>
      </c>
      <c r="B325" s="5" t="str">
        <f>"36412022010419443181195"</f>
        <v>36412022010419443181195</v>
      </c>
      <c r="C325" s="5" t="s">
        <v>13</v>
      </c>
      <c r="D325" s="5" t="str">
        <f>"李念容"</f>
        <v>李念容</v>
      </c>
      <c r="E325" s="5" t="str">
        <f t="shared" ref="E325:E357" si="37">"女"</f>
        <v>女</v>
      </c>
      <c r="F325" s="5" t="str">
        <f t="shared" si="36"/>
        <v>汉族</v>
      </c>
    </row>
    <row r="326" ht="30" customHeight="1" spans="1:6">
      <c r="A326" s="5">
        <v>324</v>
      </c>
      <c r="B326" s="5" t="str">
        <f>"36412022010420501781524"</f>
        <v>36412022010420501781524</v>
      </c>
      <c r="C326" s="5" t="s">
        <v>13</v>
      </c>
      <c r="D326" s="5" t="str">
        <f>"林本平"</f>
        <v>林本平</v>
      </c>
      <c r="E326" s="5" t="str">
        <f t="shared" si="37"/>
        <v>女</v>
      </c>
      <c r="F326" s="5" t="str">
        <f t="shared" si="36"/>
        <v>汉族</v>
      </c>
    </row>
    <row r="327" ht="30" customHeight="1" spans="1:6">
      <c r="A327" s="5">
        <v>325</v>
      </c>
      <c r="B327" s="5" t="str">
        <f>"36412022010509054382536"</f>
        <v>36412022010509054382536</v>
      </c>
      <c r="C327" s="5" t="s">
        <v>13</v>
      </c>
      <c r="D327" s="5" t="str">
        <f>"王婷婷"</f>
        <v>王婷婷</v>
      </c>
      <c r="E327" s="5" t="str">
        <f t="shared" si="37"/>
        <v>女</v>
      </c>
      <c r="F327" s="5" t="str">
        <f t="shared" si="36"/>
        <v>汉族</v>
      </c>
    </row>
    <row r="328" ht="30" customHeight="1" spans="1:6">
      <c r="A328" s="5">
        <v>326</v>
      </c>
      <c r="B328" s="5" t="str">
        <f>"36412022010513044583912"</f>
        <v>36412022010513044583912</v>
      </c>
      <c r="C328" s="5" t="s">
        <v>13</v>
      </c>
      <c r="D328" s="5" t="str">
        <f>"童青玲"</f>
        <v>童青玲</v>
      </c>
      <c r="E328" s="5" t="str">
        <f t="shared" si="37"/>
        <v>女</v>
      </c>
      <c r="F328" s="5" t="str">
        <f t="shared" si="36"/>
        <v>汉族</v>
      </c>
    </row>
    <row r="329" ht="30" customHeight="1" spans="1:6">
      <c r="A329" s="5">
        <v>327</v>
      </c>
      <c r="B329" s="5" t="str">
        <f>"36412022010514280284279"</f>
        <v>36412022010514280284279</v>
      </c>
      <c r="C329" s="5" t="s">
        <v>13</v>
      </c>
      <c r="D329" s="5" t="str">
        <f>"苏滢源"</f>
        <v>苏滢源</v>
      </c>
      <c r="E329" s="5" t="str">
        <f t="shared" si="37"/>
        <v>女</v>
      </c>
      <c r="F329" s="5" t="str">
        <f t="shared" si="36"/>
        <v>汉族</v>
      </c>
    </row>
    <row r="330" ht="30" customHeight="1" spans="1:6">
      <c r="A330" s="5">
        <v>328</v>
      </c>
      <c r="B330" s="5" t="str">
        <f>"36412022010516114384847"</f>
        <v>36412022010516114384847</v>
      </c>
      <c r="C330" s="5" t="s">
        <v>13</v>
      </c>
      <c r="D330" s="5" t="str">
        <f>"王春云"</f>
        <v>王春云</v>
      </c>
      <c r="E330" s="5" t="str">
        <f t="shared" si="37"/>
        <v>女</v>
      </c>
      <c r="F330" s="5" t="str">
        <f t="shared" si="36"/>
        <v>汉族</v>
      </c>
    </row>
    <row r="331" ht="30" customHeight="1" spans="1:6">
      <c r="A331" s="5">
        <v>329</v>
      </c>
      <c r="B331" s="5" t="str">
        <f>"36412022010519434385723"</f>
        <v>36412022010519434385723</v>
      </c>
      <c r="C331" s="5" t="s">
        <v>13</v>
      </c>
      <c r="D331" s="5" t="str">
        <f>"陈佳欣"</f>
        <v>陈佳欣</v>
      </c>
      <c r="E331" s="5" t="str">
        <f t="shared" si="37"/>
        <v>女</v>
      </c>
      <c r="F331" s="5" t="str">
        <f t="shared" si="36"/>
        <v>汉族</v>
      </c>
    </row>
    <row r="332" ht="30" customHeight="1" spans="1:6">
      <c r="A332" s="5">
        <v>330</v>
      </c>
      <c r="B332" s="5" t="str">
        <f>"36412022010521313186222"</f>
        <v>36412022010521313186222</v>
      </c>
      <c r="C332" s="5" t="s">
        <v>13</v>
      </c>
      <c r="D332" s="5" t="str">
        <f>"许金妹"</f>
        <v>许金妹</v>
      </c>
      <c r="E332" s="5" t="str">
        <f t="shared" si="37"/>
        <v>女</v>
      </c>
      <c r="F332" s="5" t="str">
        <f t="shared" si="36"/>
        <v>汉族</v>
      </c>
    </row>
    <row r="333" ht="30" customHeight="1" spans="1:6">
      <c r="A333" s="5">
        <v>331</v>
      </c>
      <c r="B333" s="5" t="str">
        <f>"36412022010522062986396"</f>
        <v>36412022010522062986396</v>
      </c>
      <c r="C333" s="5" t="s">
        <v>13</v>
      </c>
      <c r="D333" s="5" t="str">
        <f>"卢宛芳"</f>
        <v>卢宛芳</v>
      </c>
      <c r="E333" s="5" t="str">
        <f t="shared" si="37"/>
        <v>女</v>
      </c>
      <c r="F333" s="5" t="str">
        <f t="shared" si="36"/>
        <v>汉族</v>
      </c>
    </row>
    <row r="334" ht="30" customHeight="1" spans="1:6">
      <c r="A334" s="5">
        <v>332</v>
      </c>
      <c r="B334" s="5" t="str">
        <f>"36412022010522235986460"</f>
        <v>36412022010522235986460</v>
      </c>
      <c r="C334" s="5" t="s">
        <v>13</v>
      </c>
      <c r="D334" s="5" t="str">
        <f>"文丹"</f>
        <v>文丹</v>
      </c>
      <c r="E334" s="5" t="str">
        <f t="shared" si="37"/>
        <v>女</v>
      </c>
      <c r="F334" s="5" t="str">
        <f t="shared" si="36"/>
        <v>汉族</v>
      </c>
    </row>
    <row r="335" ht="30" customHeight="1" spans="1:6">
      <c r="A335" s="5">
        <v>333</v>
      </c>
      <c r="B335" s="5" t="str">
        <f>"36412022010612294887881"</f>
        <v>36412022010612294887881</v>
      </c>
      <c r="C335" s="5" t="s">
        <v>13</v>
      </c>
      <c r="D335" s="5" t="str">
        <f>"温王萍"</f>
        <v>温王萍</v>
      </c>
      <c r="E335" s="5" t="str">
        <f t="shared" si="37"/>
        <v>女</v>
      </c>
      <c r="F335" s="5" t="str">
        <f t="shared" si="36"/>
        <v>汉族</v>
      </c>
    </row>
    <row r="336" ht="30" customHeight="1" spans="1:6">
      <c r="A336" s="5">
        <v>334</v>
      </c>
      <c r="B336" s="5" t="str">
        <f>"36412022010616161988829"</f>
        <v>36412022010616161988829</v>
      </c>
      <c r="C336" s="5" t="s">
        <v>13</v>
      </c>
      <c r="D336" s="5" t="str">
        <f>"曾婷"</f>
        <v>曾婷</v>
      </c>
      <c r="E336" s="5" t="str">
        <f t="shared" si="37"/>
        <v>女</v>
      </c>
      <c r="F336" s="5" t="str">
        <f t="shared" si="36"/>
        <v>汉族</v>
      </c>
    </row>
    <row r="337" ht="30" customHeight="1" spans="1:6">
      <c r="A337" s="5">
        <v>335</v>
      </c>
      <c r="B337" s="5" t="str">
        <f>"36412022010619473589577"</f>
        <v>36412022010619473589577</v>
      </c>
      <c r="C337" s="5" t="s">
        <v>13</v>
      </c>
      <c r="D337" s="5" t="str">
        <f>"林杨"</f>
        <v>林杨</v>
      </c>
      <c r="E337" s="5" t="str">
        <f t="shared" si="37"/>
        <v>女</v>
      </c>
      <c r="F337" s="5" t="str">
        <f t="shared" si="36"/>
        <v>汉族</v>
      </c>
    </row>
    <row r="338" ht="30" customHeight="1" spans="1:6">
      <c r="A338" s="5">
        <v>336</v>
      </c>
      <c r="B338" s="5" t="str">
        <f>"36412022010621233589923"</f>
        <v>36412022010621233589923</v>
      </c>
      <c r="C338" s="5" t="s">
        <v>13</v>
      </c>
      <c r="D338" s="5" t="str">
        <f>"温呈桦"</f>
        <v>温呈桦</v>
      </c>
      <c r="E338" s="5" t="str">
        <f t="shared" si="37"/>
        <v>女</v>
      </c>
      <c r="F338" s="5" t="str">
        <f t="shared" si="36"/>
        <v>汉族</v>
      </c>
    </row>
    <row r="339" ht="30" customHeight="1" spans="1:6">
      <c r="A339" s="5">
        <v>337</v>
      </c>
      <c r="B339" s="5" t="str">
        <f>"36412022010622092790077"</f>
        <v>36412022010622092790077</v>
      </c>
      <c r="C339" s="5" t="s">
        <v>13</v>
      </c>
      <c r="D339" s="5" t="str">
        <f>"刘虹杏"</f>
        <v>刘虹杏</v>
      </c>
      <c r="E339" s="5" t="str">
        <f t="shared" si="37"/>
        <v>女</v>
      </c>
      <c r="F339" s="5" t="str">
        <f t="shared" si="36"/>
        <v>汉族</v>
      </c>
    </row>
    <row r="340" ht="30" customHeight="1" spans="1:6">
      <c r="A340" s="5">
        <v>338</v>
      </c>
      <c r="B340" s="5" t="str">
        <f>"36412022010622414490187"</f>
        <v>36412022010622414490187</v>
      </c>
      <c r="C340" s="5" t="s">
        <v>13</v>
      </c>
      <c r="D340" s="5" t="str">
        <f>"李杏"</f>
        <v>李杏</v>
      </c>
      <c r="E340" s="5" t="str">
        <f t="shared" si="37"/>
        <v>女</v>
      </c>
      <c r="F340" s="5" t="str">
        <f>"黎族"</f>
        <v>黎族</v>
      </c>
    </row>
    <row r="341" ht="30" customHeight="1" spans="1:6">
      <c r="A341" s="5">
        <v>339</v>
      </c>
      <c r="B341" s="5" t="str">
        <f>"36412022010622534390236"</f>
        <v>36412022010622534390236</v>
      </c>
      <c r="C341" s="5" t="s">
        <v>13</v>
      </c>
      <c r="D341" s="5" t="str">
        <f>"吴可姣"</f>
        <v>吴可姣</v>
      </c>
      <c r="E341" s="5" t="str">
        <f t="shared" si="37"/>
        <v>女</v>
      </c>
      <c r="F341" s="5" t="str">
        <f t="shared" ref="F341:F359" si="38">"汉族"</f>
        <v>汉族</v>
      </c>
    </row>
    <row r="342" ht="30" customHeight="1" spans="1:6">
      <c r="A342" s="5">
        <v>340</v>
      </c>
      <c r="B342" s="5" t="str">
        <f>"36412022010714461691812"</f>
        <v>36412022010714461691812</v>
      </c>
      <c r="C342" s="5" t="s">
        <v>13</v>
      </c>
      <c r="D342" s="5" t="str">
        <f>"吴儒菊"</f>
        <v>吴儒菊</v>
      </c>
      <c r="E342" s="5" t="str">
        <f t="shared" si="37"/>
        <v>女</v>
      </c>
      <c r="F342" s="5" t="str">
        <f t="shared" si="38"/>
        <v>汉族</v>
      </c>
    </row>
    <row r="343" ht="30" customHeight="1" spans="1:6">
      <c r="A343" s="5">
        <v>341</v>
      </c>
      <c r="B343" s="5" t="str">
        <f>"36412022010818162393897"</f>
        <v>36412022010818162393897</v>
      </c>
      <c r="C343" s="5" t="s">
        <v>13</v>
      </c>
      <c r="D343" s="5" t="str">
        <f>"曾小穆"</f>
        <v>曾小穆</v>
      </c>
      <c r="E343" s="5" t="str">
        <f t="shared" si="37"/>
        <v>女</v>
      </c>
      <c r="F343" s="5" t="str">
        <f t="shared" si="38"/>
        <v>汉族</v>
      </c>
    </row>
    <row r="344" ht="30" customHeight="1" spans="1:6">
      <c r="A344" s="5">
        <v>342</v>
      </c>
      <c r="B344" s="5" t="str">
        <f>"36412022010819251694004"</f>
        <v>36412022010819251694004</v>
      </c>
      <c r="C344" s="5" t="s">
        <v>13</v>
      </c>
      <c r="D344" s="5" t="str">
        <f>"陈玲妹"</f>
        <v>陈玲妹</v>
      </c>
      <c r="E344" s="5" t="str">
        <f t="shared" si="37"/>
        <v>女</v>
      </c>
      <c r="F344" s="5" t="str">
        <f t="shared" si="38"/>
        <v>汉族</v>
      </c>
    </row>
    <row r="345" ht="30" customHeight="1" spans="1:6">
      <c r="A345" s="5">
        <v>343</v>
      </c>
      <c r="B345" s="5" t="str">
        <f>"36412022010820394994155"</f>
        <v>36412022010820394994155</v>
      </c>
      <c r="C345" s="5" t="s">
        <v>13</v>
      </c>
      <c r="D345" s="5" t="str">
        <f>"廖璇"</f>
        <v>廖璇</v>
      </c>
      <c r="E345" s="5" t="str">
        <f t="shared" si="37"/>
        <v>女</v>
      </c>
      <c r="F345" s="5" t="str">
        <f t="shared" si="38"/>
        <v>汉族</v>
      </c>
    </row>
    <row r="346" ht="30" customHeight="1" spans="1:6">
      <c r="A346" s="5">
        <v>344</v>
      </c>
      <c r="B346" s="5" t="str">
        <f>"36412022010915344295463"</f>
        <v>36412022010915344295463</v>
      </c>
      <c r="C346" s="5" t="s">
        <v>13</v>
      </c>
      <c r="D346" s="5" t="str">
        <f>"王静"</f>
        <v>王静</v>
      </c>
      <c r="E346" s="5" t="str">
        <f t="shared" si="37"/>
        <v>女</v>
      </c>
      <c r="F346" s="5" t="str">
        <f t="shared" si="38"/>
        <v>汉族</v>
      </c>
    </row>
    <row r="347" ht="30" customHeight="1" spans="1:6">
      <c r="A347" s="5">
        <v>345</v>
      </c>
      <c r="B347" s="5" t="str">
        <f>"36412022010917104695665"</f>
        <v>36412022010917104695665</v>
      </c>
      <c r="C347" s="5" t="s">
        <v>13</v>
      </c>
      <c r="D347" s="5" t="str">
        <f>"李静雯"</f>
        <v>李静雯</v>
      </c>
      <c r="E347" s="5" t="str">
        <f t="shared" si="37"/>
        <v>女</v>
      </c>
      <c r="F347" s="5" t="str">
        <f t="shared" si="38"/>
        <v>汉族</v>
      </c>
    </row>
    <row r="348" ht="30" customHeight="1" spans="1:6">
      <c r="A348" s="5">
        <v>346</v>
      </c>
      <c r="B348" s="5" t="str">
        <f>"36412022010922070896100"</f>
        <v>36412022010922070896100</v>
      </c>
      <c r="C348" s="5" t="s">
        <v>13</v>
      </c>
      <c r="D348" s="5" t="str">
        <f>"陈初桃"</f>
        <v>陈初桃</v>
      </c>
      <c r="E348" s="5" t="str">
        <f t="shared" si="37"/>
        <v>女</v>
      </c>
      <c r="F348" s="5" t="str">
        <f t="shared" si="38"/>
        <v>汉族</v>
      </c>
    </row>
    <row r="349" ht="30" customHeight="1" spans="1:6">
      <c r="A349" s="5">
        <v>347</v>
      </c>
      <c r="B349" s="5" t="str">
        <f>"36412022010922274396136"</f>
        <v>36412022010922274396136</v>
      </c>
      <c r="C349" s="5" t="s">
        <v>13</v>
      </c>
      <c r="D349" s="5" t="str">
        <f>"赵桐 "</f>
        <v>赵桐 </v>
      </c>
      <c r="E349" s="5" t="str">
        <f t="shared" si="37"/>
        <v>女</v>
      </c>
      <c r="F349" s="5" t="str">
        <f t="shared" si="38"/>
        <v>汉族</v>
      </c>
    </row>
    <row r="350" ht="30" customHeight="1" spans="1:6">
      <c r="A350" s="5">
        <v>348</v>
      </c>
      <c r="B350" s="5" t="str">
        <f>"36412022010922295796140"</f>
        <v>36412022010922295796140</v>
      </c>
      <c r="C350" s="5" t="s">
        <v>13</v>
      </c>
      <c r="D350" s="5" t="str">
        <f>"陈洁"</f>
        <v>陈洁</v>
      </c>
      <c r="E350" s="5" t="str">
        <f t="shared" si="37"/>
        <v>女</v>
      </c>
      <c r="F350" s="5" t="str">
        <f t="shared" si="38"/>
        <v>汉族</v>
      </c>
    </row>
    <row r="351" ht="30" customHeight="1" spans="1:6">
      <c r="A351" s="5">
        <v>349</v>
      </c>
      <c r="B351" s="5" t="str">
        <f>"36412022010922301796141"</f>
        <v>36412022010922301796141</v>
      </c>
      <c r="C351" s="5" t="s">
        <v>13</v>
      </c>
      <c r="D351" s="5" t="str">
        <f>"梁颖"</f>
        <v>梁颖</v>
      </c>
      <c r="E351" s="5" t="str">
        <f t="shared" si="37"/>
        <v>女</v>
      </c>
      <c r="F351" s="5" t="str">
        <f t="shared" si="38"/>
        <v>汉族</v>
      </c>
    </row>
    <row r="352" ht="30" customHeight="1" spans="1:6">
      <c r="A352" s="5">
        <v>350</v>
      </c>
      <c r="B352" s="5" t="str">
        <f>"36412022011009061996427"</f>
        <v>36412022011009061996427</v>
      </c>
      <c r="C352" s="5" t="s">
        <v>13</v>
      </c>
      <c r="D352" s="5" t="str">
        <f>"吉训丽"</f>
        <v>吉训丽</v>
      </c>
      <c r="E352" s="5" t="str">
        <f t="shared" si="37"/>
        <v>女</v>
      </c>
      <c r="F352" s="5" t="str">
        <f t="shared" si="38"/>
        <v>汉族</v>
      </c>
    </row>
    <row r="353" ht="30" customHeight="1" spans="1:6">
      <c r="A353" s="5">
        <v>351</v>
      </c>
      <c r="B353" s="5" t="str">
        <f>"36412022011009453996538"</f>
        <v>36412022011009453996538</v>
      </c>
      <c r="C353" s="5" t="s">
        <v>13</v>
      </c>
      <c r="D353" s="5" t="str">
        <f>"何靖"</f>
        <v>何靖</v>
      </c>
      <c r="E353" s="5" t="str">
        <f t="shared" si="37"/>
        <v>女</v>
      </c>
      <c r="F353" s="5" t="str">
        <f t="shared" si="38"/>
        <v>汉族</v>
      </c>
    </row>
    <row r="354" ht="30" customHeight="1" spans="1:6">
      <c r="A354" s="5">
        <v>352</v>
      </c>
      <c r="B354" s="5" t="str">
        <f>"36412022011010240696667"</f>
        <v>36412022011010240696667</v>
      </c>
      <c r="C354" s="5" t="s">
        <v>13</v>
      </c>
      <c r="D354" s="5" t="str">
        <f>"杨小香"</f>
        <v>杨小香</v>
      </c>
      <c r="E354" s="5" t="str">
        <f t="shared" si="37"/>
        <v>女</v>
      </c>
      <c r="F354" s="5" t="str">
        <f t="shared" si="38"/>
        <v>汉族</v>
      </c>
    </row>
    <row r="355" ht="30" customHeight="1" spans="1:6">
      <c r="A355" s="5">
        <v>353</v>
      </c>
      <c r="B355" s="5" t="str">
        <f>"36412022011010374896713"</f>
        <v>36412022011010374896713</v>
      </c>
      <c r="C355" s="5" t="s">
        <v>13</v>
      </c>
      <c r="D355" s="5" t="str">
        <f>"冼心雅"</f>
        <v>冼心雅</v>
      </c>
      <c r="E355" s="5" t="str">
        <f t="shared" si="37"/>
        <v>女</v>
      </c>
      <c r="F355" s="5" t="str">
        <f t="shared" si="38"/>
        <v>汉族</v>
      </c>
    </row>
    <row r="356" ht="30" customHeight="1" spans="1:6">
      <c r="A356" s="5">
        <v>354</v>
      </c>
      <c r="B356" s="5" t="str">
        <f>"36412022011011331596900"</f>
        <v>36412022011011331596900</v>
      </c>
      <c r="C356" s="5" t="s">
        <v>13</v>
      </c>
      <c r="D356" s="5" t="str">
        <f>"李东芳"</f>
        <v>李东芳</v>
      </c>
      <c r="E356" s="5" t="str">
        <f t="shared" si="37"/>
        <v>女</v>
      </c>
      <c r="F356" s="5" t="str">
        <f t="shared" si="38"/>
        <v>汉族</v>
      </c>
    </row>
    <row r="357" ht="30" customHeight="1" spans="1:6">
      <c r="A357" s="5">
        <v>355</v>
      </c>
      <c r="B357" s="5" t="str">
        <f>"36412022011011350096905"</f>
        <v>36412022011011350096905</v>
      </c>
      <c r="C357" s="5" t="s">
        <v>13</v>
      </c>
      <c r="D357" s="5" t="str">
        <f>"刘小坤"</f>
        <v>刘小坤</v>
      </c>
      <c r="E357" s="5" t="str">
        <f t="shared" si="37"/>
        <v>女</v>
      </c>
      <c r="F357" s="5" t="str">
        <f t="shared" si="38"/>
        <v>汉族</v>
      </c>
    </row>
    <row r="358" ht="30" customHeight="1" spans="1:6">
      <c r="A358" s="5">
        <v>356</v>
      </c>
      <c r="B358" s="5" t="str">
        <f>"36412021123109075769673"</f>
        <v>36412021123109075769673</v>
      </c>
      <c r="C358" s="5" t="s">
        <v>14</v>
      </c>
      <c r="D358" s="5" t="str">
        <f>"吴畅"</f>
        <v>吴畅</v>
      </c>
      <c r="E358" s="5" t="str">
        <f>"男"</f>
        <v>男</v>
      </c>
      <c r="F358" s="5" t="str">
        <f t="shared" si="38"/>
        <v>汉族</v>
      </c>
    </row>
    <row r="359" ht="30" customHeight="1" spans="1:6">
      <c r="A359" s="5">
        <v>357</v>
      </c>
      <c r="B359" s="5" t="str">
        <f>"36412021123109292569758"</f>
        <v>36412021123109292569758</v>
      </c>
      <c r="C359" s="5" t="s">
        <v>14</v>
      </c>
      <c r="D359" s="5" t="str">
        <f>"卢文静"</f>
        <v>卢文静</v>
      </c>
      <c r="E359" s="5" t="str">
        <f>"女"</f>
        <v>女</v>
      </c>
      <c r="F359" s="5" t="str">
        <f t="shared" si="38"/>
        <v>汉族</v>
      </c>
    </row>
    <row r="360" ht="30" customHeight="1" spans="1:6">
      <c r="A360" s="5">
        <v>358</v>
      </c>
      <c r="B360" s="5" t="str">
        <f>"36412021123109323169773"</f>
        <v>36412021123109323169773</v>
      </c>
      <c r="C360" s="5" t="s">
        <v>14</v>
      </c>
      <c r="D360" s="5" t="str">
        <f>"王含文"</f>
        <v>王含文</v>
      </c>
      <c r="E360" s="5" t="str">
        <f>"男"</f>
        <v>男</v>
      </c>
      <c r="F360" s="5" t="str">
        <f>"苗族"</f>
        <v>苗族</v>
      </c>
    </row>
    <row r="361" ht="30" customHeight="1" spans="1:6">
      <c r="A361" s="5">
        <v>359</v>
      </c>
      <c r="B361" s="5" t="str">
        <f>"36412021123109333069779"</f>
        <v>36412021123109333069779</v>
      </c>
      <c r="C361" s="5" t="s">
        <v>14</v>
      </c>
      <c r="D361" s="5" t="str">
        <f>"万智霞"</f>
        <v>万智霞</v>
      </c>
      <c r="E361" s="5" t="str">
        <f>"女"</f>
        <v>女</v>
      </c>
      <c r="F361" s="5" t="str">
        <f>"黎族"</f>
        <v>黎族</v>
      </c>
    </row>
    <row r="362" ht="30" customHeight="1" spans="1:6">
      <c r="A362" s="5">
        <v>360</v>
      </c>
      <c r="B362" s="5" t="str">
        <f>"36412021123110105169951"</f>
        <v>36412021123110105169951</v>
      </c>
      <c r="C362" s="5" t="s">
        <v>14</v>
      </c>
      <c r="D362" s="5" t="str">
        <f>"王毓慧"</f>
        <v>王毓慧</v>
      </c>
      <c r="E362" s="5" t="str">
        <f>"女"</f>
        <v>女</v>
      </c>
      <c r="F362" s="5" t="str">
        <f>"汉族"</f>
        <v>汉族</v>
      </c>
    </row>
    <row r="363" ht="30" customHeight="1" spans="1:6">
      <c r="A363" s="5">
        <v>361</v>
      </c>
      <c r="B363" s="5" t="str">
        <f>"36412021123111212370281"</f>
        <v>36412021123111212370281</v>
      </c>
      <c r="C363" s="5" t="s">
        <v>14</v>
      </c>
      <c r="D363" s="5" t="str">
        <f>"王玉"</f>
        <v>王玉</v>
      </c>
      <c r="E363" s="5" t="str">
        <f>"女"</f>
        <v>女</v>
      </c>
      <c r="F363" s="5" t="str">
        <f>"汉族"</f>
        <v>汉族</v>
      </c>
    </row>
    <row r="364" ht="30" customHeight="1" spans="1:6">
      <c r="A364" s="5">
        <v>362</v>
      </c>
      <c r="B364" s="5" t="str">
        <f>"36412021123112393070483"</f>
        <v>36412021123112393070483</v>
      </c>
      <c r="C364" s="5" t="s">
        <v>14</v>
      </c>
      <c r="D364" s="5" t="str">
        <f>"杜传国"</f>
        <v>杜传国</v>
      </c>
      <c r="E364" s="5" t="str">
        <f>"男"</f>
        <v>男</v>
      </c>
      <c r="F364" s="5" t="str">
        <f>"汉族"</f>
        <v>汉族</v>
      </c>
    </row>
    <row r="365" ht="30" customHeight="1" spans="1:6">
      <c r="A365" s="5">
        <v>363</v>
      </c>
      <c r="B365" s="5" t="str">
        <f>"36412021123113193370584"</f>
        <v>36412021123113193370584</v>
      </c>
      <c r="C365" s="5" t="s">
        <v>14</v>
      </c>
      <c r="D365" s="5" t="str">
        <f>"张秀卷"</f>
        <v>张秀卷</v>
      </c>
      <c r="E365" s="5" t="str">
        <f>"男"</f>
        <v>男</v>
      </c>
      <c r="F365" s="5" t="str">
        <f>"汉族"</f>
        <v>汉族</v>
      </c>
    </row>
    <row r="366" ht="30" customHeight="1" spans="1:6">
      <c r="A366" s="5">
        <v>364</v>
      </c>
      <c r="B366" s="5" t="str">
        <f>"36412021123117551771163"</f>
        <v>36412021123117551771163</v>
      </c>
      <c r="C366" s="5" t="s">
        <v>14</v>
      </c>
      <c r="D366" s="5" t="str">
        <f>"李慧雯"</f>
        <v>李慧雯</v>
      </c>
      <c r="E366" s="5" t="str">
        <f>"女"</f>
        <v>女</v>
      </c>
      <c r="F366" s="5" t="str">
        <f>"黎族"</f>
        <v>黎族</v>
      </c>
    </row>
    <row r="367" ht="30" customHeight="1" spans="1:6">
      <c r="A367" s="5">
        <v>365</v>
      </c>
      <c r="B367" s="5" t="str">
        <f>"36412021123118303671190"</f>
        <v>36412021123118303671190</v>
      </c>
      <c r="C367" s="5" t="s">
        <v>14</v>
      </c>
      <c r="D367" s="5" t="str">
        <f>"刘雨航"</f>
        <v>刘雨航</v>
      </c>
      <c r="E367" s="5" t="str">
        <f>"女"</f>
        <v>女</v>
      </c>
      <c r="F367" s="5" t="str">
        <f t="shared" ref="F367:F374" si="39">"汉族"</f>
        <v>汉族</v>
      </c>
    </row>
    <row r="368" ht="30" customHeight="1" spans="1:6">
      <c r="A368" s="5">
        <v>366</v>
      </c>
      <c r="B368" s="5" t="str">
        <f>"36412021123122004771343"</f>
        <v>36412021123122004771343</v>
      </c>
      <c r="C368" s="5" t="s">
        <v>14</v>
      </c>
      <c r="D368" s="5" t="str">
        <f>"王应珠"</f>
        <v>王应珠</v>
      </c>
      <c r="E368" s="5" t="str">
        <f>"女"</f>
        <v>女</v>
      </c>
      <c r="F368" s="5" t="str">
        <f t="shared" si="39"/>
        <v>汉族</v>
      </c>
    </row>
    <row r="369" ht="30" customHeight="1" spans="1:6">
      <c r="A369" s="5">
        <v>367</v>
      </c>
      <c r="B369" s="5" t="str">
        <f>"36412021123122554771376"</f>
        <v>36412021123122554771376</v>
      </c>
      <c r="C369" s="5" t="s">
        <v>14</v>
      </c>
      <c r="D369" s="5" t="str">
        <f>"翁尉虹"</f>
        <v>翁尉虹</v>
      </c>
      <c r="E369" s="5" t="str">
        <f>"女"</f>
        <v>女</v>
      </c>
      <c r="F369" s="5" t="str">
        <f t="shared" si="39"/>
        <v>汉族</v>
      </c>
    </row>
    <row r="370" ht="30" customHeight="1" spans="1:6">
      <c r="A370" s="5">
        <v>368</v>
      </c>
      <c r="B370" s="5" t="str">
        <f>"36412022010109235371488"</f>
        <v>36412022010109235371488</v>
      </c>
      <c r="C370" s="5" t="s">
        <v>14</v>
      </c>
      <c r="D370" s="5" t="str">
        <f>"蔡奕军"</f>
        <v>蔡奕军</v>
      </c>
      <c r="E370" s="5" t="str">
        <f>"男"</f>
        <v>男</v>
      </c>
      <c r="F370" s="5" t="str">
        <f t="shared" si="39"/>
        <v>汉族</v>
      </c>
    </row>
    <row r="371" ht="30" customHeight="1" spans="1:6">
      <c r="A371" s="5">
        <v>369</v>
      </c>
      <c r="B371" s="5" t="str">
        <f>"36412022010120432472198"</f>
        <v>36412022010120432472198</v>
      </c>
      <c r="C371" s="5" t="s">
        <v>14</v>
      </c>
      <c r="D371" s="5" t="str">
        <f>"布东"</f>
        <v>布东</v>
      </c>
      <c r="E371" s="5" t="str">
        <f>"男"</f>
        <v>男</v>
      </c>
      <c r="F371" s="5" t="str">
        <f t="shared" si="39"/>
        <v>汉族</v>
      </c>
    </row>
    <row r="372" ht="30" customHeight="1" spans="1:6">
      <c r="A372" s="5">
        <v>370</v>
      </c>
      <c r="B372" s="5" t="str">
        <f>"36412022010209004872439"</f>
        <v>36412022010209004872439</v>
      </c>
      <c r="C372" s="5" t="s">
        <v>14</v>
      </c>
      <c r="D372" s="5" t="str">
        <f>"杨蕙溶"</f>
        <v>杨蕙溶</v>
      </c>
      <c r="E372" s="5" t="str">
        <f t="shared" ref="E372:E380" si="40">"女"</f>
        <v>女</v>
      </c>
      <c r="F372" s="5" t="str">
        <f t="shared" si="39"/>
        <v>汉族</v>
      </c>
    </row>
    <row r="373" ht="30" customHeight="1" spans="1:6">
      <c r="A373" s="5">
        <v>371</v>
      </c>
      <c r="B373" s="5" t="str">
        <f>"36412022010214460872878"</f>
        <v>36412022010214460872878</v>
      </c>
      <c r="C373" s="5" t="s">
        <v>14</v>
      </c>
      <c r="D373" s="5" t="str">
        <f>"董敏玲"</f>
        <v>董敏玲</v>
      </c>
      <c r="E373" s="5" t="str">
        <f t="shared" si="40"/>
        <v>女</v>
      </c>
      <c r="F373" s="5" t="str">
        <f t="shared" si="39"/>
        <v>汉族</v>
      </c>
    </row>
    <row r="374" ht="30" customHeight="1" spans="1:6">
      <c r="A374" s="5">
        <v>372</v>
      </c>
      <c r="B374" s="5" t="str">
        <f>"36412022010311324774456"</f>
        <v>36412022010311324774456</v>
      </c>
      <c r="C374" s="5" t="s">
        <v>14</v>
      </c>
      <c r="D374" s="5" t="str">
        <f>"张玉珠"</f>
        <v>张玉珠</v>
      </c>
      <c r="E374" s="5" t="str">
        <f t="shared" si="40"/>
        <v>女</v>
      </c>
      <c r="F374" s="5" t="str">
        <f t="shared" si="39"/>
        <v>汉族</v>
      </c>
    </row>
    <row r="375" ht="30" customHeight="1" spans="1:6">
      <c r="A375" s="5">
        <v>373</v>
      </c>
      <c r="B375" s="5" t="str">
        <f>"36412022010410104978015"</f>
        <v>36412022010410104978015</v>
      </c>
      <c r="C375" s="5" t="s">
        <v>14</v>
      </c>
      <c r="D375" s="5" t="str">
        <f>"王艳秋"</f>
        <v>王艳秋</v>
      </c>
      <c r="E375" s="5" t="str">
        <f t="shared" si="40"/>
        <v>女</v>
      </c>
      <c r="F375" s="5" t="str">
        <f>"黎族"</f>
        <v>黎族</v>
      </c>
    </row>
    <row r="376" ht="30" customHeight="1" spans="1:6">
      <c r="A376" s="5">
        <v>374</v>
      </c>
      <c r="B376" s="5" t="str">
        <f>"36412022010411370578752"</f>
        <v>36412022010411370578752</v>
      </c>
      <c r="C376" s="5" t="s">
        <v>14</v>
      </c>
      <c r="D376" s="5" t="str">
        <f>"吴瑞云"</f>
        <v>吴瑞云</v>
      </c>
      <c r="E376" s="5" t="str">
        <f t="shared" si="40"/>
        <v>女</v>
      </c>
      <c r="F376" s="5" t="str">
        <f>"汉族"</f>
        <v>汉族</v>
      </c>
    </row>
    <row r="377" ht="30" customHeight="1" spans="1:6">
      <c r="A377" s="5">
        <v>375</v>
      </c>
      <c r="B377" s="5" t="str">
        <f>"36412022010413042779195"</f>
        <v>36412022010413042779195</v>
      </c>
      <c r="C377" s="5" t="s">
        <v>14</v>
      </c>
      <c r="D377" s="5" t="str">
        <f>"谭桂丹"</f>
        <v>谭桂丹</v>
      </c>
      <c r="E377" s="5" t="str">
        <f t="shared" si="40"/>
        <v>女</v>
      </c>
      <c r="F377" s="5" t="str">
        <f>"汉族"</f>
        <v>汉族</v>
      </c>
    </row>
    <row r="378" ht="30" customHeight="1" spans="1:6">
      <c r="A378" s="5">
        <v>376</v>
      </c>
      <c r="B378" s="5" t="str">
        <f>"36412022010415433779984"</f>
        <v>36412022010415433779984</v>
      </c>
      <c r="C378" s="5" t="s">
        <v>14</v>
      </c>
      <c r="D378" s="5" t="str">
        <f>"文娇芳"</f>
        <v>文娇芳</v>
      </c>
      <c r="E378" s="5" t="str">
        <f t="shared" si="40"/>
        <v>女</v>
      </c>
      <c r="F378" s="5" t="str">
        <f>"汉族"</f>
        <v>汉族</v>
      </c>
    </row>
    <row r="379" ht="30" customHeight="1" spans="1:6">
      <c r="A379" s="5">
        <v>377</v>
      </c>
      <c r="B379" s="5" t="str">
        <f>"36412022010417065380462"</f>
        <v>36412022010417065380462</v>
      </c>
      <c r="C379" s="5" t="s">
        <v>14</v>
      </c>
      <c r="D379" s="5" t="str">
        <f>"何民丹"</f>
        <v>何民丹</v>
      </c>
      <c r="E379" s="5" t="str">
        <f t="shared" si="40"/>
        <v>女</v>
      </c>
      <c r="F379" s="5" t="str">
        <f>"黎族"</f>
        <v>黎族</v>
      </c>
    </row>
    <row r="380" ht="30" customHeight="1" spans="1:6">
      <c r="A380" s="5">
        <v>378</v>
      </c>
      <c r="B380" s="5" t="str">
        <f>"36412022010419140881051"</f>
        <v>36412022010419140881051</v>
      </c>
      <c r="C380" s="5" t="s">
        <v>14</v>
      </c>
      <c r="D380" s="5" t="str">
        <f>"刘燕女"</f>
        <v>刘燕女</v>
      </c>
      <c r="E380" s="5" t="str">
        <f t="shared" si="40"/>
        <v>女</v>
      </c>
      <c r="F380" s="5" t="str">
        <f>"汉族"</f>
        <v>汉族</v>
      </c>
    </row>
    <row r="381" ht="30" customHeight="1" spans="1:6">
      <c r="A381" s="5">
        <v>379</v>
      </c>
      <c r="B381" s="5" t="str">
        <f>"36412022010419582281260"</f>
        <v>36412022010419582281260</v>
      </c>
      <c r="C381" s="5" t="s">
        <v>14</v>
      </c>
      <c r="D381" s="5" t="str">
        <f>"陈大进"</f>
        <v>陈大进</v>
      </c>
      <c r="E381" s="5" t="str">
        <f>"男"</f>
        <v>男</v>
      </c>
      <c r="F381" s="5" t="str">
        <f>"汉族"</f>
        <v>汉族</v>
      </c>
    </row>
    <row r="382" ht="30" customHeight="1" spans="1:6">
      <c r="A382" s="5">
        <v>380</v>
      </c>
      <c r="B382" s="5" t="str">
        <f>"36412022010420080681308"</f>
        <v>36412022010420080681308</v>
      </c>
      <c r="C382" s="5" t="s">
        <v>14</v>
      </c>
      <c r="D382" s="5" t="str">
        <f>"冯晓"</f>
        <v>冯晓</v>
      </c>
      <c r="E382" s="5" t="str">
        <f t="shared" ref="E382:E389" si="41">"女"</f>
        <v>女</v>
      </c>
      <c r="F382" s="5" t="str">
        <f>"汉族"</f>
        <v>汉族</v>
      </c>
    </row>
    <row r="383" ht="30" customHeight="1" spans="1:6">
      <c r="A383" s="5">
        <v>381</v>
      </c>
      <c r="B383" s="5" t="str">
        <f>"36412022010422085881879"</f>
        <v>36412022010422085881879</v>
      </c>
      <c r="C383" s="5" t="s">
        <v>14</v>
      </c>
      <c r="D383" s="5" t="str">
        <f>"李美春"</f>
        <v>李美春</v>
      </c>
      <c r="E383" s="5" t="str">
        <f t="shared" si="41"/>
        <v>女</v>
      </c>
      <c r="F383" s="5" t="str">
        <f>"汉族"</f>
        <v>汉族</v>
      </c>
    </row>
    <row r="384" ht="30" customHeight="1" spans="1:6">
      <c r="A384" s="5">
        <v>382</v>
      </c>
      <c r="B384" s="5" t="str">
        <f>"36412022010509124582571"</f>
        <v>36412022010509124582571</v>
      </c>
      <c r="C384" s="5" t="s">
        <v>14</v>
      </c>
      <c r="D384" s="5" t="str">
        <f>"邱媛"</f>
        <v>邱媛</v>
      </c>
      <c r="E384" s="5" t="str">
        <f t="shared" si="41"/>
        <v>女</v>
      </c>
      <c r="F384" s="5" t="str">
        <f>"汉族"</f>
        <v>汉族</v>
      </c>
    </row>
    <row r="385" ht="30" customHeight="1" spans="1:6">
      <c r="A385" s="5">
        <v>383</v>
      </c>
      <c r="B385" s="5" t="str">
        <f>"36412022010511095283341"</f>
        <v>36412022010511095283341</v>
      </c>
      <c r="C385" s="5" t="s">
        <v>14</v>
      </c>
      <c r="D385" s="5" t="str">
        <f>"王梦霞"</f>
        <v>王梦霞</v>
      </c>
      <c r="E385" s="5" t="str">
        <f t="shared" si="41"/>
        <v>女</v>
      </c>
      <c r="F385" s="5" t="str">
        <f>"彝族"</f>
        <v>彝族</v>
      </c>
    </row>
    <row r="386" ht="30" customHeight="1" spans="1:6">
      <c r="A386" s="5">
        <v>384</v>
      </c>
      <c r="B386" s="5" t="str">
        <f>"36412022010512140683669"</f>
        <v>36412022010512140683669</v>
      </c>
      <c r="C386" s="5" t="s">
        <v>14</v>
      </c>
      <c r="D386" s="5" t="str">
        <f>"唐小丽"</f>
        <v>唐小丽</v>
      </c>
      <c r="E386" s="5" t="str">
        <f t="shared" si="41"/>
        <v>女</v>
      </c>
      <c r="F386" s="5" t="str">
        <f t="shared" ref="F386:F416" si="42">"汉族"</f>
        <v>汉族</v>
      </c>
    </row>
    <row r="387" ht="30" customHeight="1" spans="1:6">
      <c r="A387" s="5">
        <v>385</v>
      </c>
      <c r="B387" s="5" t="str">
        <f>"36412022010517292285233"</f>
        <v>36412022010517292285233</v>
      </c>
      <c r="C387" s="5" t="s">
        <v>14</v>
      </c>
      <c r="D387" s="5" t="str">
        <f>"羊高联"</f>
        <v>羊高联</v>
      </c>
      <c r="E387" s="5" t="str">
        <f t="shared" si="41"/>
        <v>女</v>
      </c>
      <c r="F387" s="5" t="str">
        <f t="shared" si="42"/>
        <v>汉族</v>
      </c>
    </row>
    <row r="388" ht="30" customHeight="1" spans="1:6">
      <c r="A388" s="5">
        <v>386</v>
      </c>
      <c r="B388" s="5" t="str">
        <f>"36412022010520361185965"</f>
        <v>36412022010520361185965</v>
      </c>
      <c r="C388" s="5" t="s">
        <v>14</v>
      </c>
      <c r="D388" s="5" t="str">
        <f>"梁美燕"</f>
        <v>梁美燕</v>
      </c>
      <c r="E388" s="5" t="str">
        <f t="shared" si="41"/>
        <v>女</v>
      </c>
      <c r="F388" s="5" t="str">
        <f t="shared" si="42"/>
        <v>汉族</v>
      </c>
    </row>
    <row r="389" ht="30" customHeight="1" spans="1:6">
      <c r="A389" s="5">
        <v>387</v>
      </c>
      <c r="B389" s="5" t="str">
        <f>"36412022010521540386352"</f>
        <v>36412022010521540386352</v>
      </c>
      <c r="C389" s="5" t="s">
        <v>14</v>
      </c>
      <c r="D389" s="5" t="str">
        <f>"黄冬竹"</f>
        <v>黄冬竹</v>
      </c>
      <c r="E389" s="5" t="str">
        <f t="shared" si="41"/>
        <v>女</v>
      </c>
      <c r="F389" s="5" t="str">
        <f t="shared" si="42"/>
        <v>汉族</v>
      </c>
    </row>
    <row r="390" ht="30" customHeight="1" spans="1:6">
      <c r="A390" s="5">
        <v>388</v>
      </c>
      <c r="B390" s="5" t="str">
        <f>"36412022010616224488868"</f>
        <v>36412022010616224488868</v>
      </c>
      <c r="C390" s="5" t="s">
        <v>14</v>
      </c>
      <c r="D390" s="5" t="str">
        <f>"王伟"</f>
        <v>王伟</v>
      </c>
      <c r="E390" s="5" t="str">
        <f>"男"</f>
        <v>男</v>
      </c>
      <c r="F390" s="5" t="str">
        <f t="shared" si="42"/>
        <v>汉族</v>
      </c>
    </row>
    <row r="391" ht="30" customHeight="1" spans="1:6">
      <c r="A391" s="5">
        <v>389</v>
      </c>
      <c r="B391" s="5" t="str">
        <f>"36412022010623454090346"</f>
        <v>36412022010623454090346</v>
      </c>
      <c r="C391" s="5" t="s">
        <v>14</v>
      </c>
      <c r="D391" s="5" t="str">
        <f>"陈春红"</f>
        <v>陈春红</v>
      </c>
      <c r="E391" s="5" t="str">
        <f>"女"</f>
        <v>女</v>
      </c>
      <c r="F391" s="5" t="str">
        <f t="shared" si="42"/>
        <v>汉族</v>
      </c>
    </row>
    <row r="392" ht="30" customHeight="1" spans="1:6">
      <c r="A392" s="5">
        <v>390</v>
      </c>
      <c r="B392" s="5" t="str">
        <f>"36412022010710224590865"</f>
        <v>36412022010710224590865</v>
      </c>
      <c r="C392" s="5" t="s">
        <v>14</v>
      </c>
      <c r="D392" s="5" t="str">
        <f>"符明浩"</f>
        <v>符明浩</v>
      </c>
      <c r="E392" s="5" t="str">
        <f>"男"</f>
        <v>男</v>
      </c>
      <c r="F392" s="5" t="str">
        <f t="shared" si="42"/>
        <v>汉族</v>
      </c>
    </row>
    <row r="393" ht="30" customHeight="1" spans="1:6">
      <c r="A393" s="5">
        <v>391</v>
      </c>
      <c r="B393" s="5" t="str">
        <f>"36412022010715254091951"</f>
        <v>36412022010715254091951</v>
      </c>
      <c r="C393" s="5" t="s">
        <v>14</v>
      </c>
      <c r="D393" s="5" t="str">
        <f>"连灼壁"</f>
        <v>连灼壁</v>
      </c>
      <c r="E393" s="5" t="str">
        <f>"男"</f>
        <v>男</v>
      </c>
      <c r="F393" s="5" t="str">
        <f t="shared" si="42"/>
        <v>汉族</v>
      </c>
    </row>
    <row r="394" ht="30" customHeight="1" spans="1:6">
      <c r="A394" s="5">
        <v>392</v>
      </c>
      <c r="B394" s="5" t="str">
        <f>"36412022010811483993325"</f>
        <v>36412022010811483993325</v>
      </c>
      <c r="C394" s="5" t="s">
        <v>14</v>
      </c>
      <c r="D394" s="5" t="str">
        <f>"许汝萍"</f>
        <v>许汝萍</v>
      </c>
      <c r="E394" s="5" t="str">
        <f t="shared" ref="E394:E399" si="43">"女"</f>
        <v>女</v>
      </c>
      <c r="F394" s="5" t="str">
        <f t="shared" si="42"/>
        <v>汉族</v>
      </c>
    </row>
    <row r="395" ht="30" customHeight="1" spans="1:6">
      <c r="A395" s="5">
        <v>393</v>
      </c>
      <c r="B395" s="5" t="str">
        <f>"36412022010816351393744"</f>
        <v>36412022010816351393744</v>
      </c>
      <c r="C395" s="5" t="s">
        <v>14</v>
      </c>
      <c r="D395" s="5" t="str">
        <f>"黎三花"</f>
        <v>黎三花</v>
      </c>
      <c r="E395" s="5" t="str">
        <f t="shared" si="43"/>
        <v>女</v>
      </c>
      <c r="F395" s="5" t="str">
        <f t="shared" si="42"/>
        <v>汉族</v>
      </c>
    </row>
    <row r="396" ht="30" customHeight="1" spans="1:6">
      <c r="A396" s="5">
        <v>394</v>
      </c>
      <c r="B396" s="5" t="str">
        <f>"36412022010816365993750"</f>
        <v>36412022010816365993750</v>
      </c>
      <c r="C396" s="5" t="s">
        <v>14</v>
      </c>
      <c r="D396" s="5" t="str">
        <f>"段文婷"</f>
        <v>段文婷</v>
      </c>
      <c r="E396" s="5" t="str">
        <f t="shared" si="43"/>
        <v>女</v>
      </c>
      <c r="F396" s="5" t="str">
        <f t="shared" si="42"/>
        <v>汉族</v>
      </c>
    </row>
    <row r="397" ht="30" customHeight="1" spans="1:6">
      <c r="A397" s="5">
        <v>395</v>
      </c>
      <c r="B397" s="5" t="str">
        <f>"36412022010822593194433"</f>
        <v>36412022010822593194433</v>
      </c>
      <c r="C397" s="5" t="s">
        <v>14</v>
      </c>
      <c r="D397" s="5" t="str">
        <f>"郑丽欣"</f>
        <v>郑丽欣</v>
      </c>
      <c r="E397" s="5" t="str">
        <f t="shared" si="43"/>
        <v>女</v>
      </c>
      <c r="F397" s="5" t="str">
        <f t="shared" si="42"/>
        <v>汉族</v>
      </c>
    </row>
    <row r="398" ht="30" customHeight="1" spans="1:6">
      <c r="A398" s="5">
        <v>396</v>
      </c>
      <c r="B398" s="5" t="str">
        <f>"36412022010911342394968"</f>
        <v>36412022010911342394968</v>
      </c>
      <c r="C398" s="5" t="s">
        <v>14</v>
      </c>
      <c r="D398" s="5" t="str">
        <f>"李雪曼"</f>
        <v>李雪曼</v>
      </c>
      <c r="E398" s="5" t="str">
        <f t="shared" si="43"/>
        <v>女</v>
      </c>
      <c r="F398" s="5" t="str">
        <f t="shared" si="42"/>
        <v>汉族</v>
      </c>
    </row>
    <row r="399" ht="30" customHeight="1" spans="1:6">
      <c r="A399" s="5">
        <v>397</v>
      </c>
      <c r="B399" s="5" t="str">
        <f>"36412022010911591895022"</f>
        <v>36412022010911591895022</v>
      </c>
      <c r="C399" s="5" t="s">
        <v>14</v>
      </c>
      <c r="D399" s="5" t="str">
        <f>"邓娟妹"</f>
        <v>邓娟妹</v>
      </c>
      <c r="E399" s="5" t="str">
        <f t="shared" si="43"/>
        <v>女</v>
      </c>
      <c r="F399" s="5" t="str">
        <f t="shared" si="42"/>
        <v>汉族</v>
      </c>
    </row>
    <row r="400" ht="30" customHeight="1" spans="1:6">
      <c r="A400" s="5">
        <v>398</v>
      </c>
      <c r="B400" s="5" t="str">
        <f>"36412022010913014295154"</f>
        <v>36412022010913014295154</v>
      </c>
      <c r="C400" s="5" t="s">
        <v>14</v>
      </c>
      <c r="D400" s="5" t="str">
        <f>"蔡仁昌"</f>
        <v>蔡仁昌</v>
      </c>
      <c r="E400" s="5" t="str">
        <f>"男"</f>
        <v>男</v>
      </c>
      <c r="F400" s="5" t="str">
        <f t="shared" si="42"/>
        <v>汉族</v>
      </c>
    </row>
    <row r="401" ht="30" customHeight="1" spans="1:6">
      <c r="A401" s="5">
        <v>399</v>
      </c>
      <c r="B401" s="5" t="str">
        <f>"36412022010913080595166"</f>
        <v>36412022010913080595166</v>
      </c>
      <c r="C401" s="5" t="s">
        <v>14</v>
      </c>
      <c r="D401" s="5" t="str">
        <f>"王娇娇"</f>
        <v>王娇娇</v>
      </c>
      <c r="E401" s="5" t="str">
        <f>"女"</f>
        <v>女</v>
      </c>
      <c r="F401" s="5" t="str">
        <f t="shared" si="42"/>
        <v>汉族</v>
      </c>
    </row>
    <row r="402" ht="30" customHeight="1" spans="1:6">
      <c r="A402" s="5">
        <v>400</v>
      </c>
      <c r="B402" s="5" t="str">
        <f>"36412022010915072195395"</f>
        <v>36412022010915072195395</v>
      </c>
      <c r="C402" s="5" t="s">
        <v>14</v>
      </c>
      <c r="D402" s="5" t="str">
        <f>"龙福年"</f>
        <v>龙福年</v>
      </c>
      <c r="E402" s="5" t="str">
        <f>"男"</f>
        <v>男</v>
      </c>
      <c r="F402" s="5" t="str">
        <f t="shared" si="42"/>
        <v>汉族</v>
      </c>
    </row>
    <row r="403" ht="30" customHeight="1" spans="1:6">
      <c r="A403" s="5">
        <v>401</v>
      </c>
      <c r="B403" s="5" t="str">
        <f>"36412022010916034495532"</f>
        <v>36412022010916034495532</v>
      </c>
      <c r="C403" s="5" t="s">
        <v>14</v>
      </c>
      <c r="D403" s="5" t="str">
        <f>"朱伟"</f>
        <v>朱伟</v>
      </c>
      <c r="E403" s="5" t="str">
        <f>"男"</f>
        <v>男</v>
      </c>
      <c r="F403" s="5" t="str">
        <f t="shared" si="42"/>
        <v>汉族</v>
      </c>
    </row>
    <row r="404" ht="30" customHeight="1" spans="1:6">
      <c r="A404" s="5">
        <v>402</v>
      </c>
      <c r="B404" s="5" t="str">
        <f>"36412022010920213995894"</f>
        <v>36412022010920213995894</v>
      </c>
      <c r="C404" s="5" t="s">
        <v>14</v>
      </c>
      <c r="D404" s="5" t="str">
        <f>"王茜"</f>
        <v>王茜</v>
      </c>
      <c r="E404" s="5" t="str">
        <f>"女"</f>
        <v>女</v>
      </c>
      <c r="F404" s="5" t="str">
        <f t="shared" si="42"/>
        <v>汉族</v>
      </c>
    </row>
    <row r="405" ht="30" customHeight="1" spans="1:6">
      <c r="A405" s="5">
        <v>403</v>
      </c>
      <c r="B405" s="5" t="str">
        <f>"36412022010921130395987"</f>
        <v>36412022010921130395987</v>
      </c>
      <c r="C405" s="5" t="s">
        <v>14</v>
      </c>
      <c r="D405" s="5" t="str">
        <f>"陈西凤"</f>
        <v>陈西凤</v>
      </c>
      <c r="E405" s="5" t="str">
        <f>"女"</f>
        <v>女</v>
      </c>
      <c r="F405" s="5" t="str">
        <f t="shared" si="42"/>
        <v>汉族</v>
      </c>
    </row>
    <row r="406" ht="30" customHeight="1" spans="1:6">
      <c r="A406" s="5">
        <v>404</v>
      </c>
      <c r="B406" s="5" t="str">
        <f>"36412022010923261396215"</f>
        <v>36412022010923261396215</v>
      </c>
      <c r="C406" s="5" t="s">
        <v>14</v>
      </c>
      <c r="D406" s="5" t="str">
        <f>"陈太景"</f>
        <v>陈太景</v>
      </c>
      <c r="E406" s="5" t="str">
        <f>"女"</f>
        <v>女</v>
      </c>
      <c r="F406" s="5" t="str">
        <f t="shared" si="42"/>
        <v>汉族</v>
      </c>
    </row>
    <row r="407" ht="30" customHeight="1" spans="1:6">
      <c r="A407" s="5">
        <v>405</v>
      </c>
      <c r="B407" s="5" t="str">
        <f>"36412022011008452296377"</f>
        <v>36412022011008452296377</v>
      </c>
      <c r="C407" s="5" t="s">
        <v>14</v>
      </c>
      <c r="D407" s="5" t="str">
        <f>"林道才"</f>
        <v>林道才</v>
      </c>
      <c r="E407" s="5" t="str">
        <f>"男"</f>
        <v>男</v>
      </c>
      <c r="F407" s="5" t="str">
        <f t="shared" si="42"/>
        <v>汉族</v>
      </c>
    </row>
    <row r="408" ht="30" customHeight="1" spans="1:6">
      <c r="A408" s="5">
        <v>406</v>
      </c>
      <c r="B408" s="5" t="str">
        <f>"36412022011011203996863"</f>
        <v>36412022011011203996863</v>
      </c>
      <c r="C408" s="5" t="s">
        <v>14</v>
      </c>
      <c r="D408" s="5" t="str">
        <f>"林敏"</f>
        <v>林敏</v>
      </c>
      <c r="E408" s="5" t="str">
        <f t="shared" ref="E408:E413" si="44">"女"</f>
        <v>女</v>
      </c>
      <c r="F408" s="5" t="str">
        <f t="shared" si="42"/>
        <v>汉族</v>
      </c>
    </row>
    <row r="409" ht="30" customHeight="1" spans="1:6">
      <c r="A409" s="5">
        <v>407</v>
      </c>
      <c r="B409" s="5" t="str">
        <f>"36412022011011530196961"</f>
        <v>36412022011011530196961</v>
      </c>
      <c r="C409" s="5" t="s">
        <v>14</v>
      </c>
      <c r="D409" s="5" t="str">
        <f>"黄艳梅"</f>
        <v>黄艳梅</v>
      </c>
      <c r="E409" s="5" t="str">
        <f t="shared" si="44"/>
        <v>女</v>
      </c>
      <c r="F409" s="5" t="str">
        <f t="shared" si="42"/>
        <v>汉族</v>
      </c>
    </row>
    <row r="410" ht="30" customHeight="1" spans="1:6">
      <c r="A410" s="5">
        <v>408</v>
      </c>
      <c r="B410" s="5" t="str">
        <f>"36412021123109553669879"</f>
        <v>36412021123109553669879</v>
      </c>
      <c r="C410" s="5" t="s">
        <v>15</v>
      </c>
      <c r="D410" s="5" t="str">
        <f>"陈丽"</f>
        <v>陈丽</v>
      </c>
      <c r="E410" s="5" t="str">
        <f t="shared" si="44"/>
        <v>女</v>
      </c>
      <c r="F410" s="5" t="str">
        <f t="shared" si="42"/>
        <v>汉族</v>
      </c>
    </row>
    <row r="411" ht="30" customHeight="1" spans="1:6">
      <c r="A411" s="5">
        <v>409</v>
      </c>
      <c r="B411" s="5" t="str">
        <f>"36412021123109584369891"</f>
        <v>36412021123109584369891</v>
      </c>
      <c r="C411" s="5" t="s">
        <v>15</v>
      </c>
      <c r="D411" s="5" t="str">
        <f>"麦名蕴"</f>
        <v>麦名蕴</v>
      </c>
      <c r="E411" s="5" t="str">
        <f t="shared" si="44"/>
        <v>女</v>
      </c>
      <c r="F411" s="5" t="str">
        <f t="shared" si="42"/>
        <v>汉族</v>
      </c>
    </row>
    <row r="412" ht="30" customHeight="1" spans="1:6">
      <c r="A412" s="5">
        <v>410</v>
      </c>
      <c r="B412" s="5" t="str">
        <f>"36412021123110132269968"</f>
        <v>36412021123110132269968</v>
      </c>
      <c r="C412" s="5" t="s">
        <v>15</v>
      </c>
      <c r="D412" s="5" t="str">
        <f>"陈清月"</f>
        <v>陈清月</v>
      </c>
      <c r="E412" s="5" t="str">
        <f t="shared" si="44"/>
        <v>女</v>
      </c>
      <c r="F412" s="5" t="str">
        <f t="shared" si="42"/>
        <v>汉族</v>
      </c>
    </row>
    <row r="413" ht="30" customHeight="1" spans="1:6">
      <c r="A413" s="5">
        <v>411</v>
      </c>
      <c r="B413" s="5" t="str">
        <f>"36412021123110302470053"</f>
        <v>36412021123110302470053</v>
      </c>
      <c r="C413" s="5" t="s">
        <v>15</v>
      </c>
      <c r="D413" s="5" t="str">
        <f>"赵媛媛"</f>
        <v>赵媛媛</v>
      </c>
      <c r="E413" s="5" t="str">
        <f t="shared" si="44"/>
        <v>女</v>
      </c>
      <c r="F413" s="5" t="str">
        <f t="shared" si="42"/>
        <v>汉族</v>
      </c>
    </row>
    <row r="414" ht="30" customHeight="1" spans="1:6">
      <c r="A414" s="5">
        <v>412</v>
      </c>
      <c r="B414" s="5" t="str">
        <f>"36412021123110433070115"</f>
        <v>36412021123110433070115</v>
      </c>
      <c r="C414" s="5" t="s">
        <v>15</v>
      </c>
      <c r="D414" s="5" t="str">
        <f>"符和城"</f>
        <v>符和城</v>
      </c>
      <c r="E414" s="5" t="str">
        <f>"男"</f>
        <v>男</v>
      </c>
      <c r="F414" s="5" t="str">
        <f t="shared" si="42"/>
        <v>汉族</v>
      </c>
    </row>
    <row r="415" ht="30" customHeight="1" spans="1:6">
      <c r="A415" s="5">
        <v>413</v>
      </c>
      <c r="B415" s="5" t="str">
        <f>"36412021123110485270143"</f>
        <v>36412021123110485270143</v>
      </c>
      <c r="C415" s="5" t="s">
        <v>15</v>
      </c>
      <c r="D415" s="5" t="str">
        <f>"黄晓雯"</f>
        <v>黄晓雯</v>
      </c>
      <c r="E415" s="5" t="str">
        <f>"女"</f>
        <v>女</v>
      </c>
      <c r="F415" s="5" t="str">
        <f t="shared" si="42"/>
        <v>汉族</v>
      </c>
    </row>
    <row r="416" ht="30" customHeight="1" spans="1:6">
      <c r="A416" s="5">
        <v>414</v>
      </c>
      <c r="B416" s="5" t="str">
        <f>"36412021123112352670470"</f>
        <v>36412021123112352670470</v>
      </c>
      <c r="C416" s="5" t="s">
        <v>15</v>
      </c>
      <c r="D416" s="5" t="str">
        <f>"符尾女"</f>
        <v>符尾女</v>
      </c>
      <c r="E416" s="5" t="str">
        <f>"女"</f>
        <v>女</v>
      </c>
      <c r="F416" s="5" t="str">
        <f t="shared" si="42"/>
        <v>汉族</v>
      </c>
    </row>
    <row r="417" ht="30" customHeight="1" spans="1:6">
      <c r="A417" s="5">
        <v>415</v>
      </c>
      <c r="B417" s="5" t="str">
        <f>"36412021123115105370841"</f>
        <v>36412021123115105370841</v>
      </c>
      <c r="C417" s="5" t="s">
        <v>15</v>
      </c>
      <c r="D417" s="5" t="str">
        <f>"王挺波"</f>
        <v>王挺波</v>
      </c>
      <c r="E417" s="5" t="str">
        <f>"男"</f>
        <v>男</v>
      </c>
      <c r="F417" s="5" t="str">
        <f>"黎族"</f>
        <v>黎族</v>
      </c>
    </row>
    <row r="418" ht="30" customHeight="1" spans="1:6">
      <c r="A418" s="5">
        <v>416</v>
      </c>
      <c r="B418" s="5" t="str">
        <f>"36412021123116010770961"</f>
        <v>36412021123116010770961</v>
      </c>
      <c r="C418" s="5" t="s">
        <v>15</v>
      </c>
      <c r="D418" s="5" t="str">
        <f>"高小穗"</f>
        <v>高小穗</v>
      </c>
      <c r="E418" s="5" t="str">
        <f t="shared" ref="E418:E423" si="45">"女"</f>
        <v>女</v>
      </c>
      <c r="F418" s="5" t="str">
        <f t="shared" ref="F418:F436" si="46">"汉族"</f>
        <v>汉族</v>
      </c>
    </row>
    <row r="419" ht="30" customHeight="1" spans="1:6">
      <c r="A419" s="5">
        <v>417</v>
      </c>
      <c r="B419" s="5" t="str">
        <f>"36412021123116194971005"</f>
        <v>36412021123116194971005</v>
      </c>
      <c r="C419" s="5" t="s">
        <v>15</v>
      </c>
      <c r="D419" s="5" t="str">
        <f>"王秀娟"</f>
        <v>王秀娟</v>
      </c>
      <c r="E419" s="5" t="str">
        <f t="shared" si="45"/>
        <v>女</v>
      </c>
      <c r="F419" s="5" t="str">
        <f t="shared" si="46"/>
        <v>汉族</v>
      </c>
    </row>
    <row r="420" ht="30" customHeight="1" spans="1:6">
      <c r="A420" s="5">
        <v>418</v>
      </c>
      <c r="B420" s="5" t="str">
        <f>"36412021123117141371118"</f>
        <v>36412021123117141371118</v>
      </c>
      <c r="C420" s="5" t="s">
        <v>15</v>
      </c>
      <c r="D420" s="5" t="str">
        <f>"符芮帆"</f>
        <v>符芮帆</v>
      </c>
      <c r="E420" s="5" t="str">
        <f t="shared" si="45"/>
        <v>女</v>
      </c>
      <c r="F420" s="5" t="str">
        <f t="shared" si="46"/>
        <v>汉族</v>
      </c>
    </row>
    <row r="421" ht="30" customHeight="1" spans="1:6">
      <c r="A421" s="5">
        <v>419</v>
      </c>
      <c r="B421" s="5" t="str">
        <f>"36412021123118075771176"</f>
        <v>36412021123118075771176</v>
      </c>
      <c r="C421" s="5" t="s">
        <v>15</v>
      </c>
      <c r="D421" s="5" t="str">
        <f>"周富"</f>
        <v>周富</v>
      </c>
      <c r="E421" s="5" t="str">
        <f t="shared" si="45"/>
        <v>女</v>
      </c>
      <c r="F421" s="5" t="str">
        <f t="shared" si="46"/>
        <v>汉族</v>
      </c>
    </row>
    <row r="422" ht="30" customHeight="1" spans="1:6">
      <c r="A422" s="5">
        <v>420</v>
      </c>
      <c r="B422" s="5" t="str">
        <f>"36412021123118282071187"</f>
        <v>36412021123118282071187</v>
      </c>
      <c r="C422" s="5" t="s">
        <v>15</v>
      </c>
      <c r="D422" s="5" t="str">
        <f>"邓少欣"</f>
        <v>邓少欣</v>
      </c>
      <c r="E422" s="5" t="str">
        <f t="shared" si="45"/>
        <v>女</v>
      </c>
      <c r="F422" s="5" t="str">
        <f t="shared" si="46"/>
        <v>汉族</v>
      </c>
    </row>
    <row r="423" ht="30" customHeight="1" spans="1:6">
      <c r="A423" s="5">
        <v>421</v>
      </c>
      <c r="B423" s="5" t="str">
        <f>"36412021123120564271300"</f>
        <v>36412021123120564271300</v>
      </c>
      <c r="C423" s="5" t="s">
        <v>15</v>
      </c>
      <c r="D423" s="5" t="str">
        <f>"林晓虹"</f>
        <v>林晓虹</v>
      </c>
      <c r="E423" s="5" t="str">
        <f t="shared" si="45"/>
        <v>女</v>
      </c>
      <c r="F423" s="5" t="str">
        <f t="shared" si="46"/>
        <v>汉族</v>
      </c>
    </row>
    <row r="424" ht="30" customHeight="1" spans="1:6">
      <c r="A424" s="5">
        <v>422</v>
      </c>
      <c r="B424" s="5" t="str">
        <f>"36412022010111402971656"</f>
        <v>36412022010111402971656</v>
      </c>
      <c r="C424" s="5" t="s">
        <v>15</v>
      </c>
      <c r="D424" s="5" t="str">
        <f>"冯吉"</f>
        <v>冯吉</v>
      </c>
      <c r="E424" s="5" t="str">
        <f>"男"</f>
        <v>男</v>
      </c>
      <c r="F424" s="5" t="str">
        <f t="shared" si="46"/>
        <v>汉族</v>
      </c>
    </row>
    <row r="425" ht="30" customHeight="1" spans="1:6">
      <c r="A425" s="5">
        <v>423</v>
      </c>
      <c r="B425" s="5" t="str">
        <f>"36412022010117391672036"</f>
        <v>36412022010117391672036</v>
      </c>
      <c r="C425" s="5" t="s">
        <v>15</v>
      </c>
      <c r="D425" s="5" t="str">
        <f>"唐德嘉"</f>
        <v>唐德嘉</v>
      </c>
      <c r="E425" s="5" t="str">
        <f t="shared" ref="E425:E436" si="47">"女"</f>
        <v>女</v>
      </c>
      <c r="F425" s="5" t="str">
        <f t="shared" si="46"/>
        <v>汉族</v>
      </c>
    </row>
    <row r="426" ht="30" customHeight="1" spans="1:6">
      <c r="A426" s="5">
        <v>424</v>
      </c>
      <c r="B426" s="5" t="str">
        <f>"36412022010122154072307"</f>
        <v>36412022010122154072307</v>
      </c>
      <c r="C426" s="5" t="s">
        <v>15</v>
      </c>
      <c r="D426" s="5" t="str">
        <f>"何华珍"</f>
        <v>何华珍</v>
      </c>
      <c r="E426" s="5" t="str">
        <f t="shared" si="47"/>
        <v>女</v>
      </c>
      <c r="F426" s="5" t="str">
        <f t="shared" si="46"/>
        <v>汉族</v>
      </c>
    </row>
    <row r="427" ht="30" customHeight="1" spans="1:6">
      <c r="A427" s="5">
        <v>425</v>
      </c>
      <c r="B427" s="5" t="str">
        <f>"36412022010122455872334"</f>
        <v>36412022010122455872334</v>
      </c>
      <c r="C427" s="5" t="s">
        <v>15</v>
      </c>
      <c r="D427" s="5" t="str">
        <f>"李小林"</f>
        <v>李小林</v>
      </c>
      <c r="E427" s="5" t="str">
        <f t="shared" si="47"/>
        <v>女</v>
      </c>
      <c r="F427" s="5" t="str">
        <f t="shared" si="46"/>
        <v>汉族</v>
      </c>
    </row>
    <row r="428" ht="30" customHeight="1" spans="1:6">
      <c r="A428" s="5">
        <v>426</v>
      </c>
      <c r="B428" s="5" t="str">
        <f>"36412022010122475072337"</f>
        <v>36412022010122475072337</v>
      </c>
      <c r="C428" s="5" t="s">
        <v>15</v>
      </c>
      <c r="D428" s="5" t="str">
        <f>"李亚菊"</f>
        <v>李亚菊</v>
      </c>
      <c r="E428" s="5" t="str">
        <f t="shared" si="47"/>
        <v>女</v>
      </c>
      <c r="F428" s="5" t="str">
        <f t="shared" si="46"/>
        <v>汉族</v>
      </c>
    </row>
    <row r="429" ht="30" customHeight="1" spans="1:6">
      <c r="A429" s="5">
        <v>427</v>
      </c>
      <c r="B429" s="5" t="str">
        <f>"36412022010206541872408"</f>
        <v>36412022010206541872408</v>
      </c>
      <c r="C429" s="5" t="s">
        <v>15</v>
      </c>
      <c r="D429" s="5" t="str">
        <f>"王丹女"</f>
        <v>王丹女</v>
      </c>
      <c r="E429" s="5" t="str">
        <f t="shared" si="47"/>
        <v>女</v>
      </c>
      <c r="F429" s="5" t="str">
        <f t="shared" si="46"/>
        <v>汉族</v>
      </c>
    </row>
    <row r="430" ht="30" customHeight="1" spans="1:6">
      <c r="A430" s="5">
        <v>428</v>
      </c>
      <c r="B430" s="5" t="str">
        <f>"36412022010210250372536"</f>
        <v>36412022010210250372536</v>
      </c>
      <c r="C430" s="5" t="s">
        <v>15</v>
      </c>
      <c r="D430" s="5" t="str">
        <f>"陈怡"</f>
        <v>陈怡</v>
      </c>
      <c r="E430" s="5" t="str">
        <f t="shared" si="47"/>
        <v>女</v>
      </c>
      <c r="F430" s="5" t="str">
        <f t="shared" si="46"/>
        <v>汉族</v>
      </c>
    </row>
    <row r="431" ht="30" customHeight="1" spans="1:6">
      <c r="A431" s="5">
        <v>429</v>
      </c>
      <c r="B431" s="5" t="str">
        <f>"36412022010211442672656"</f>
        <v>36412022010211442672656</v>
      </c>
      <c r="C431" s="5" t="s">
        <v>15</v>
      </c>
      <c r="D431" s="5" t="str">
        <f>"陈小红"</f>
        <v>陈小红</v>
      </c>
      <c r="E431" s="5" t="str">
        <f t="shared" si="47"/>
        <v>女</v>
      </c>
      <c r="F431" s="5" t="str">
        <f t="shared" si="46"/>
        <v>汉族</v>
      </c>
    </row>
    <row r="432" ht="30" customHeight="1" spans="1:6">
      <c r="A432" s="5">
        <v>430</v>
      </c>
      <c r="B432" s="5" t="str">
        <f>"36412022010214022872832"</f>
        <v>36412022010214022872832</v>
      </c>
      <c r="C432" s="5" t="s">
        <v>15</v>
      </c>
      <c r="D432" s="5" t="str">
        <f>"羊柳春"</f>
        <v>羊柳春</v>
      </c>
      <c r="E432" s="5" t="str">
        <f t="shared" si="47"/>
        <v>女</v>
      </c>
      <c r="F432" s="5" t="str">
        <f t="shared" si="46"/>
        <v>汉族</v>
      </c>
    </row>
    <row r="433" ht="30" customHeight="1" spans="1:6">
      <c r="A433" s="5">
        <v>431</v>
      </c>
      <c r="B433" s="5" t="str">
        <f>"36412022010220333873253"</f>
        <v>36412022010220333873253</v>
      </c>
      <c r="C433" s="5" t="s">
        <v>15</v>
      </c>
      <c r="D433" s="5" t="str">
        <f>"符玉君"</f>
        <v>符玉君</v>
      </c>
      <c r="E433" s="5" t="str">
        <f t="shared" si="47"/>
        <v>女</v>
      </c>
      <c r="F433" s="5" t="str">
        <f t="shared" si="46"/>
        <v>汉族</v>
      </c>
    </row>
    <row r="434" ht="30" customHeight="1" spans="1:6">
      <c r="A434" s="5">
        <v>432</v>
      </c>
      <c r="B434" s="5" t="str">
        <f>"36412022010221553073351"</f>
        <v>36412022010221553073351</v>
      </c>
      <c r="C434" s="5" t="s">
        <v>15</v>
      </c>
      <c r="D434" s="5" t="str">
        <f>"王玉香"</f>
        <v>王玉香</v>
      </c>
      <c r="E434" s="5" t="str">
        <f t="shared" si="47"/>
        <v>女</v>
      </c>
      <c r="F434" s="5" t="str">
        <f t="shared" si="46"/>
        <v>汉族</v>
      </c>
    </row>
    <row r="435" ht="30" customHeight="1" spans="1:6">
      <c r="A435" s="5">
        <v>433</v>
      </c>
      <c r="B435" s="5" t="str">
        <f>"36412022010317594475919"</f>
        <v>36412022010317594475919</v>
      </c>
      <c r="C435" s="5" t="s">
        <v>15</v>
      </c>
      <c r="D435" s="5" t="str">
        <f>"符丽婷"</f>
        <v>符丽婷</v>
      </c>
      <c r="E435" s="5" t="str">
        <f t="shared" si="47"/>
        <v>女</v>
      </c>
      <c r="F435" s="5" t="str">
        <f t="shared" si="46"/>
        <v>汉族</v>
      </c>
    </row>
    <row r="436" ht="30" customHeight="1" spans="1:6">
      <c r="A436" s="5">
        <v>434</v>
      </c>
      <c r="B436" s="5" t="str">
        <f>"36412022010319385476229"</f>
        <v>36412022010319385476229</v>
      </c>
      <c r="C436" s="5" t="s">
        <v>15</v>
      </c>
      <c r="D436" s="5" t="str">
        <f>"符敦苗"</f>
        <v>符敦苗</v>
      </c>
      <c r="E436" s="5" t="str">
        <f t="shared" si="47"/>
        <v>女</v>
      </c>
      <c r="F436" s="5" t="str">
        <f t="shared" si="46"/>
        <v>汉族</v>
      </c>
    </row>
    <row r="437" ht="30" customHeight="1" spans="1:6">
      <c r="A437" s="5">
        <v>435</v>
      </c>
      <c r="B437" s="5" t="str">
        <f>"36412022010320534676479"</f>
        <v>36412022010320534676479</v>
      </c>
      <c r="C437" s="5" t="s">
        <v>15</v>
      </c>
      <c r="D437" s="5" t="str">
        <f>"吉浩文"</f>
        <v>吉浩文</v>
      </c>
      <c r="E437" s="5" t="str">
        <f>"男"</f>
        <v>男</v>
      </c>
      <c r="F437" s="5" t="str">
        <f>"黎族"</f>
        <v>黎族</v>
      </c>
    </row>
    <row r="438" ht="30" customHeight="1" spans="1:6">
      <c r="A438" s="5">
        <v>436</v>
      </c>
      <c r="B438" s="5" t="str">
        <f>"36412022010409341877680"</f>
        <v>36412022010409341877680</v>
      </c>
      <c r="C438" s="5" t="s">
        <v>15</v>
      </c>
      <c r="D438" s="5" t="str">
        <f>"唐丽茹"</f>
        <v>唐丽茹</v>
      </c>
      <c r="E438" s="5" t="str">
        <f t="shared" ref="E438:E446" si="48">"女"</f>
        <v>女</v>
      </c>
      <c r="F438" s="5" t="str">
        <f t="shared" ref="F438:F443" si="49">"汉族"</f>
        <v>汉族</v>
      </c>
    </row>
    <row r="439" ht="30" customHeight="1" spans="1:6">
      <c r="A439" s="5">
        <v>437</v>
      </c>
      <c r="B439" s="5" t="str">
        <f>"36412022010410082477985"</f>
        <v>36412022010410082477985</v>
      </c>
      <c r="C439" s="5" t="s">
        <v>15</v>
      </c>
      <c r="D439" s="5" t="str">
        <f>"许文雅"</f>
        <v>许文雅</v>
      </c>
      <c r="E439" s="5" t="str">
        <f t="shared" si="48"/>
        <v>女</v>
      </c>
      <c r="F439" s="5" t="str">
        <f t="shared" si="49"/>
        <v>汉族</v>
      </c>
    </row>
    <row r="440" ht="30" customHeight="1" spans="1:6">
      <c r="A440" s="5">
        <v>438</v>
      </c>
      <c r="B440" s="5" t="str">
        <f>"36412022010411060678490"</f>
        <v>36412022010411060678490</v>
      </c>
      <c r="C440" s="5" t="s">
        <v>15</v>
      </c>
      <c r="D440" s="5" t="str">
        <f>"赖秋云"</f>
        <v>赖秋云</v>
      </c>
      <c r="E440" s="5" t="str">
        <f t="shared" si="48"/>
        <v>女</v>
      </c>
      <c r="F440" s="5" t="str">
        <f t="shared" si="49"/>
        <v>汉族</v>
      </c>
    </row>
    <row r="441" ht="30" customHeight="1" spans="1:6">
      <c r="A441" s="5">
        <v>439</v>
      </c>
      <c r="B441" s="5" t="str">
        <f>"36412022010411465878819"</f>
        <v>36412022010411465878819</v>
      </c>
      <c r="C441" s="5" t="s">
        <v>15</v>
      </c>
      <c r="D441" s="5" t="str">
        <f>"吴金兰"</f>
        <v>吴金兰</v>
      </c>
      <c r="E441" s="5" t="str">
        <f t="shared" si="48"/>
        <v>女</v>
      </c>
      <c r="F441" s="5" t="str">
        <f t="shared" si="49"/>
        <v>汉族</v>
      </c>
    </row>
    <row r="442" ht="30" customHeight="1" spans="1:6">
      <c r="A442" s="5">
        <v>440</v>
      </c>
      <c r="B442" s="5" t="str">
        <f>"36412022010411530778855"</f>
        <v>36412022010411530778855</v>
      </c>
      <c r="C442" s="5" t="s">
        <v>15</v>
      </c>
      <c r="D442" s="5" t="str">
        <f>"洪小月"</f>
        <v>洪小月</v>
      </c>
      <c r="E442" s="5" t="str">
        <f t="shared" si="48"/>
        <v>女</v>
      </c>
      <c r="F442" s="5" t="str">
        <f t="shared" si="49"/>
        <v>汉族</v>
      </c>
    </row>
    <row r="443" ht="30" customHeight="1" spans="1:6">
      <c r="A443" s="5">
        <v>441</v>
      </c>
      <c r="B443" s="5" t="str">
        <f>"36412022010412094878930"</f>
        <v>36412022010412094878930</v>
      </c>
      <c r="C443" s="5" t="s">
        <v>15</v>
      </c>
      <c r="D443" s="5" t="str">
        <f>"钟丽玲"</f>
        <v>钟丽玲</v>
      </c>
      <c r="E443" s="5" t="str">
        <f t="shared" si="48"/>
        <v>女</v>
      </c>
      <c r="F443" s="5" t="str">
        <f t="shared" si="49"/>
        <v>汉族</v>
      </c>
    </row>
    <row r="444" ht="30" customHeight="1" spans="1:6">
      <c r="A444" s="5">
        <v>442</v>
      </c>
      <c r="B444" s="5" t="str">
        <f>"36412022010412204478976"</f>
        <v>36412022010412204478976</v>
      </c>
      <c r="C444" s="5" t="s">
        <v>15</v>
      </c>
      <c r="D444" s="5" t="str">
        <f>"刘晓慧"</f>
        <v>刘晓慧</v>
      </c>
      <c r="E444" s="5" t="str">
        <f t="shared" si="48"/>
        <v>女</v>
      </c>
      <c r="F444" s="5" t="str">
        <f>"黎族"</f>
        <v>黎族</v>
      </c>
    </row>
    <row r="445" ht="30" customHeight="1" spans="1:6">
      <c r="A445" s="5">
        <v>443</v>
      </c>
      <c r="B445" s="5" t="str">
        <f>"36412022010413151879248"</f>
        <v>36412022010413151879248</v>
      </c>
      <c r="C445" s="5" t="s">
        <v>15</v>
      </c>
      <c r="D445" s="5" t="str">
        <f>"唐小花"</f>
        <v>唐小花</v>
      </c>
      <c r="E445" s="5" t="str">
        <f t="shared" si="48"/>
        <v>女</v>
      </c>
      <c r="F445" s="5" t="str">
        <f>"汉族"</f>
        <v>汉族</v>
      </c>
    </row>
    <row r="446" ht="30" customHeight="1" spans="1:6">
      <c r="A446" s="5">
        <v>444</v>
      </c>
      <c r="B446" s="5" t="str">
        <f>"36412022010414433579592"</f>
        <v>36412022010414433579592</v>
      </c>
      <c r="C446" s="5" t="s">
        <v>15</v>
      </c>
      <c r="D446" s="5" t="str">
        <f>"陈亿娜"</f>
        <v>陈亿娜</v>
      </c>
      <c r="E446" s="5" t="str">
        <f t="shared" si="48"/>
        <v>女</v>
      </c>
      <c r="F446" s="5" t="str">
        <f>"汉族"</f>
        <v>汉族</v>
      </c>
    </row>
    <row r="447" ht="30" customHeight="1" spans="1:6">
      <c r="A447" s="5">
        <v>445</v>
      </c>
      <c r="B447" s="5" t="str">
        <f>"36412022010415553380066"</f>
        <v>36412022010415553380066</v>
      </c>
      <c r="C447" s="5" t="s">
        <v>15</v>
      </c>
      <c r="D447" s="5" t="str">
        <f>"林明杰"</f>
        <v>林明杰</v>
      </c>
      <c r="E447" s="5" t="str">
        <f>"男"</f>
        <v>男</v>
      </c>
      <c r="F447" s="5" t="str">
        <f>"汉族"</f>
        <v>汉族</v>
      </c>
    </row>
    <row r="448" ht="30" customHeight="1" spans="1:6">
      <c r="A448" s="5">
        <v>446</v>
      </c>
      <c r="B448" s="5" t="str">
        <f>"36412022010416021280097"</f>
        <v>36412022010416021280097</v>
      </c>
      <c r="C448" s="5" t="s">
        <v>15</v>
      </c>
      <c r="D448" s="5" t="str">
        <f>"林启米"</f>
        <v>林启米</v>
      </c>
      <c r="E448" s="5" t="str">
        <f t="shared" ref="E448:E456" si="50">"女"</f>
        <v>女</v>
      </c>
      <c r="F448" s="5" t="str">
        <f>"汉族"</f>
        <v>汉族</v>
      </c>
    </row>
    <row r="449" ht="30" customHeight="1" spans="1:6">
      <c r="A449" s="5">
        <v>447</v>
      </c>
      <c r="B449" s="5" t="str">
        <f>"36412022010418015880721"</f>
        <v>36412022010418015880721</v>
      </c>
      <c r="C449" s="5" t="s">
        <v>15</v>
      </c>
      <c r="D449" s="5" t="str">
        <f>"裴日巧"</f>
        <v>裴日巧</v>
      </c>
      <c r="E449" s="5" t="str">
        <f t="shared" si="50"/>
        <v>女</v>
      </c>
      <c r="F449" s="5" t="str">
        <f>"汉族"</f>
        <v>汉族</v>
      </c>
    </row>
    <row r="450" ht="30" customHeight="1" spans="1:6">
      <c r="A450" s="5">
        <v>448</v>
      </c>
      <c r="B450" s="5" t="str">
        <f>"36412022010419492681219"</f>
        <v>36412022010419492681219</v>
      </c>
      <c r="C450" s="5" t="s">
        <v>15</v>
      </c>
      <c r="D450" s="5" t="str">
        <f>"陈梅"</f>
        <v>陈梅</v>
      </c>
      <c r="E450" s="5" t="str">
        <f t="shared" si="50"/>
        <v>女</v>
      </c>
      <c r="F450" s="5" t="str">
        <f>"黎族"</f>
        <v>黎族</v>
      </c>
    </row>
    <row r="451" ht="30" customHeight="1" spans="1:6">
      <c r="A451" s="5">
        <v>449</v>
      </c>
      <c r="B451" s="5" t="str">
        <f>"36412022010419553581243"</f>
        <v>36412022010419553581243</v>
      </c>
      <c r="C451" s="5" t="s">
        <v>15</v>
      </c>
      <c r="D451" s="5" t="str">
        <f>"梁海姗"</f>
        <v>梁海姗</v>
      </c>
      <c r="E451" s="5" t="str">
        <f t="shared" si="50"/>
        <v>女</v>
      </c>
      <c r="F451" s="5" t="str">
        <f>"汉族"</f>
        <v>汉族</v>
      </c>
    </row>
    <row r="452" ht="30" customHeight="1" spans="1:6">
      <c r="A452" s="5">
        <v>450</v>
      </c>
      <c r="B452" s="5" t="str">
        <f>"36412022010420281881409"</f>
        <v>36412022010420281881409</v>
      </c>
      <c r="C452" s="5" t="s">
        <v>15</v>
      </c>
      <c r="D452" s="5" t="str">
        <f>"李小驳"</f>
        <v>李小驳</v>
      </c>
      <c r="E452" s="5" t="str">
        <f t="shared" si="50"/>
        <v>女</v>
      </c>
      <c r="F452" s="5" t="str">
        <f>"汉族"</f>
        <v>汉族</v>
      </c>
    </row>
    <row r="453" ht="30" customHeight="1" spans="1:6">
      <c r="A453" s="5">
        <v>451</v>
      </c>
      <c r="B453" s="5" t="str">
        <f>"36412022010420570581558"</f>
        <v>36412022010420570581558</v>
      </c>
      <c r="C453" s="5" t="s">
        <v>15</v>
      </c>
      <c r="D453" s="5" t="str">
        <f>"陈汉玉"</f>
        <v>陈汉玉</v>
      </c>
      <c r="E453" s="5" t="str">
        <f t="shared" si="50"/>
        <v>女</v>
      </c>
      <c r="F453" s="5" t="str">
        <f>"汉族"</f>
        <v>汉族</v>
      </c>
    </row>
    <row r="454" ht="30" customHeight="1" spans="1:6">
      <c r="A454" s="5">
        <v>452</v>
      </c>
      <c r="B454" s="5" t="str">
        <f>"36412022010421374881751"</f>
        <v>36412022010421374881751</v>
      </c>
      <c r="C454" s="5" t="s">
        <v>15</v>
      </c>
      <c r="D454" s="5" t="str">
        <f>"戴秀芬"</f>
        <v>戴秀芬</v>
      </c>
      <c r="E454" s="5" t="str">
        <f t="shared" si="50"/>
        <v>女</v>
      </c>
      <c r="F454" s="5" t="str">
        <f>"汉族"</f>
        <v>汉族</v>
      </c>
    </row>
    <row r="455" ht="30" customHeight="1" spans="1:6">
      <c r="A455" s="5">
        <v>453</v>
      </c>
      <c r="B455" s="5" t="str">
        <f>"36412022010509225382627"</f>
        <v>36412022010509225382627</v>
      </c>
      <c r="C455" s="5" t="s">
        <v>15</v>
      </c>
      <c r="D455" s="5" t="str">
        <f>"李桂萍"</f>
        <v>李桂萍</v>
      </c>
      <c r="E455" s="5" t="str">
        <f t="shared" si="50"/>
        <v>女</v>
      </c>
      <c r="F455" s="5" t="str">
        <f>"汉族"</f>
        <v>汉族</v>
      </c>
    </row>
    <row r="456" ht="30" customHeight="1" spans="1:6">
      <c r="A456" s="5">
        <v>454</v>
      </c>
      <c r="B456" s="5" t="str">
        <f>"36412022010511015983282"</f>
        <v>36412022010511015983282</v>
      </c>
      <c r="C456" s="5" t="s">
        <v>15</v>
      </c>
      <c r="D456" s="5" t="str">
        <f>"容喜琳"</f>
        <v>容喜琳</v>
      </c>
      <c r="E456" s="5" t="str">
        <f t="shared" si="50"/>
        <v>女</v>
      </c>
      <c r="F456" s="5" t="str">
        <f>"黎族"</f>
        <v>黎族</v>
      </c>
    </row>
    <row r="457" ht="30" customHeight="1" spans="1:6">
      <c r="A457" s="5">
        <v>455</v>
      </c>
      <c r="B457" s="5" t="str">
        <f>"36412022010511082883334"</f>
        <v>36412022010511082883334</v>
      </c>
      <c r="C457" s="5" t="s">
        <v>15</v>
      </c>
      <c r="D457" s="5" t="str">
        <f>"许祥"</f>
        <v>许祥</v>
      </c>
      <c r="E457" s="5" t="str">
        <f>"男"</f>
        <v>男</v>
      </c>
      <c r="F457" s="5" t="str">
        <f t="shared" ref="F457:F469" si="51">"汉族"</f>
        <v>汉族</v>
      </c>
    </row>
    <row r="458" ht="30" customHeight="1" spans="1:6">
      <c r="A458" s="5">
        <v>456</v>
      </c>
      <c r="B458" s="5" t="str">
        <f>"36412022010513091383934"</f>
        <v>36412022010513091383934</v>
      </c>
      <c r="C458" s="5" t="s">
        <v>15</v>
      </c>
      <c r="D458" s="5" t="str">
        <f>"吴小兰"</f>
        <v>吴小兰</v>
      </c>
      <c r="E458" s="5" t="str">
        <f t="shared" ref="E458:E471" si="52">"女"</f>
        <v>女</v>
      </c>
      <c r="F458" s="5" t="str">
        <f t="shared" si="51"/>
        <v>汉族</v>
      </c>
    </row>
    <row r="459" ht="30" customHeight="1" spans="1:6">
      <c r="A459" s="5">
        <v>457</v>
      </c>
      <c r="B459" s="5" t="str">
        <f>"36412022010515062784461"</f>
        <v>36412022010515062784461</v>
      </c>
      <c r="C459" s="5" t="s">
        <v>15</v>
      </c>
      <c r="D459" s="5" t="str">
        <f>"江青娥"</f>
        <v>江青娥</v>
      </c>
      <c r="E459" s="5" t="str">
        <f t="shared" si="52"/>
        <v>女</v>
      </c>
      <c r="F459" s="5" t="str">
        <f t="shared" si="51"/>
        <v>汉族</v>
      </c>
    </row>
    <row r="460" ht="30" customHeight="1" spans="1:6">
      <c r="A460" s="5">
        <v>458</v>
      </c>
      <c r="B460" s="5" t="str">
        <f>"36412022010521200986168"</f>
        <v>36412022010521200986168</v>
      </c>
      <c r="C460" s="5" t="s">
        <v>15</v>
      </c>
      <c r="D460" s="5" t="str">
        <f>"龙冰冰"</f>
        <v>龙冰冰</v>
      </c>
      <c r="E460" s="5" t="str">
        <f t="shared" si="52"/>
        <v>女</v>
      </c>
      <c r="F460" s="5" t="str">
        <f t="shared" si="51"/>
        <v>汉族</v>
      </c>
    </row>
    <row r="461" ht="30" customHeight="1" spans="1:6">
      <c r="A461" s="5">
        <v>459</v>
      </c>
      <c r="B461" s="5" t="str">
        <f>"36412022010521281286205"</f>
        <v>36412022010521281286205</v>
      </c>
      <c r="C461" s="5" t="s">
        <v>15</v>
      </c>
      <c r="D461" s="5" t="str">
        <f>"陈莉香"</f>
        <v>陈莉香</v>
      </c>
      <c r="E461" s="5" t="str">
        <f t="shared" si="52"/>
        <v>女</v>
      </c>
      <c r="F461" s="5" t="str">
        <f t="shared" si="51"/>
        <v>汉族</v>
      </c>
    </row>
    <row r="462" ht="30" customHeight="1" spans="1:6">
      <c r="A462" s="5">
        <v>460</v>
      </c>
      <c r="B462" s="5" t="str">
        <f>"36412022010609104086989"</f>
        <v>36412022010609104086989</v>
      </c>
      <c r="C462" s="5" t="s">
        <v>15</v>
      </c>
      <c r="D462" s="5" t="str">
        <f>"王巧婷"</f>
        <v>王巧婷</v>
      </c>
      <c r="E462" s="5" t="str">
        <f t="shared" si="52"/>
        <v>女</v>
      </c>
      <c r="F462" s="5" t="str">
        <f t="shared" si="51"/>
        <v>汉族</v>
      </c>
    </row>
    <row r="463" ht="30" customHeight="1" spans="1:6">
      <c r="A463" s="5">
        <v>461</v>
      </c>
      <c r="B463" s="5" t="str">
        <f>"36412022010610150287285"</f>
        <v>36412022010610150287285</v>
      </c>
      <c r="C463" s="5" t="s">
        <v>15</v>
      </c>
      <c r="D463" s="5" t="str">
        <f>"陈玉丹"</f>
        <v>陈玉丹</v>
      </c>
      <c r="E463" s="5" t="str">
        <f t="shared" si="52"/>
        <v>女</v>
      </c>
      <c r="F463" s="5" t="str">
        <f t="shared" si="51"/>
        <v>汉族</v>
      </c>
    </row>
    <row r="464" ht="30" customHeight="1" spans="1:6">
      <c r="A464" s="5">
        <v>462</v>
      </c>
      <c r="B464" s="5" t="str">
        <f>"36412022010610561887480"</f>
        <v>36412022010610561887480</v>
      </c>
      <c r="C464" s="5" t="s">
        <v>15</v>
      </c>
      <c r="D464" s="5" t="str">
        <f>"薛桃秋"</f>
        <v>薛桃秋</v>
      </c>
      <c r="E464" s="5" t="str">
        <f t="shared" si="52"/>
        <v>女</v>
      </c>
      <c r="F464" s="5" t="str">
        <f t="shared" si="51"/>
        <v>汉族</v>
      </c>
    </row>
    <row r="465" ht="30" customHeight="1" spans="1:6">
      <c r="A465" s="5">
        <v>463</v>
      </c>
      <c r="B465" s="5" t="str">
        <f>"36412022010614082388258"</f>
        <v>36412022010614082388258</v>
      </c>
      <c r="C465" s="5" t="s">
        <v>15</v>
      </c>
      <c r="D465" s="5" t="str">
        <f>"周诗磊"</f>
        <v>周诗磊</v>
      </c>
      <c r="E465" s="5" t="str">
        <f t="shared" si="52"/>
        <v>女</v>
      </c>
      <c r="F465" s="5" t="str">
        <f t="shared" si="51"/>
        <v>汉族</v>
      </c>
    </row>
    <row r="466" ht="30" customHeight="1" spans="1:6">
      <c r="A466" s="5">
        <v>464</v>
      </c>
      <c r="B466" s="5" t="str">
        <f>"36412022010616332988914"</f>
        <v>36412022010616332988914</v>
      </c>
      <c r="C466" s="5" t="s">
        <v>15</v>
      </c>
      <c r="D466" s="5" t="str">
        <f>"符丹"</f>
        <v>符丹</v>
      </c>
      <c r="E466" s="5" t="str">
        <f t="shared" si="52"/>
        <v>女</v>
      </c>
      <c r="F466" s="5" t="str">
        <f t="shared" si="51"/>
        <v>汉族</v>
      </c>
    </row>
    <row r="467" ht="30" customHeight="1" spans="1:6">
      <c r="A467" s="5">
        <v>465</v>
      </c>
      <c r="B467" s="5" t="str">
        <f>"36412022010618580189406"</f>
        <v>36412022010618580189406</v>
      </c>
      <c r="C467" s="5" t="s">
        <v>15</v>
      </c>
      <c r="D467" s="5" t="str">
        <f>"吴家妃"</f>
        <v>吴家妃</v>
      </c>
      <c r="E467" s="5" t="str">
        <f t="shared" si="52"/>
        <v>女</v>
      </c>
      <c r="F467" s="5" t="str">
        <f t="shared" si="51"/>
        <v>汉族</v>
      </c>
    </row>
    <row r="468" ht="30" customHeight="1" spans="1:6">
      <c r="A468" s="5">
        <v>466</v>
      </c>
      <c r="B468" s="5" t="str">
        <f>"36412022010623414090342"</f>
        <v>36412022010623414090342</v>
      </c>
      <c r="C468" s="5" t="s">
        <v>15</v>
      </c>
      <c r="D468" s="5" t="str">
        <f>"林永琪"</f>
        <v>林永琪</v>
      </c>
      <c r="E468" s="5" t="str">
        <f t="shared" si="52"/>
        <v>女</v>
      </c>
      <c r="F468" s="5" t="str">
        <f t="shared" si="51"/>
        <v>汉族</v>
      </c>
    </row>
    <row r="469" ht="30" customHeight="1" spans="1:6">
      <c r="A469" s="5">
        <v>467</v>
      </c>
      <c r="B469" s="5" t="str">
        <f>"36412022010708360390544"</f>
        <v>36412022010708360390544</v>
      </c>
      <c r="C469" s="5" t="s">
        <v>15</v>
      </c>
      <c r="D469" s="5" t="str">
        <f>"刘慈玲"</f>
        <v>刘慈玲</v>
      </c>
      <c r="E469" s="5" t="str">
        <f t="shared" si="52"/>
        <v>女</v>
      </c>
      <c r="F469" s="5" t="str">
        <f t="shared" si="51"/>
        <v>汉族</v>
      </c>
    </row>
    <row r="470" ht="30" customHeight="1" spans="1:6">
      <c r="A470" s="5">
        <v>468</v>
      </c>
      <c r="B470" s="5" t="str">
        <f>"36412022010709231790656"</f>
        <v>36412022010709231790656</v>
      </c>
      <c r="C470" s="5" t="s">
        <v>15</v>
      </c>
      <c r="D470" s="5" t="str">
        <f>"李水花"</f>
        <v>李水花</v>
      </c>
      <c r="E470" s="5" t="str">
        <f t="shared" si="52"/>
        <v>女</v>
      </c>
      <c r="F470" s="5" t="str">
        <f>"黎族"</f>
        <v>黎族</v>
      </c>
    </row>
    <row r="471" ht="30" customHeight="1" spans="1:6">
      <c r="A471" s="5">
        <v>469</v>
      </c>
      <c r="B471" s="5" t="str">
        <f>"36412022010711091891052"</f>
        <v>36412022010711091891052</v>
      </c>
      <c r="C471" s="5" t="s">
        <v>15</v>
      </c>
      <c r="D471" s="5" t="str">
        <f>"吴春秀"</f>
        <v>吴春秀</v>
      </c>
      <c r="E471" s="5" t="str">
        <f t="shared" si="52"/>
        <v>女</v>
      </c>
      <c r="F471" s="5" t="str">
        <f>"汉族"</f>
        <v>汉族</v>
      </c>
    </row>
    <row r="472" ht="30" customHeight="1" spans="1:6">
      <c r="A472" s="5">
        <v>470</v>
      </c>
      <c r="B472" s="5" t="str">
        <f>"36412022010711405791166"</f>
        <v>36412022010711405791166</v>
      </c>
      <c r="C472" s="5" t="s">
        <v>15</v>
      </c>
      <c r="D472" s="5" t="str">
        <f>"邓力夫"</f>
        <v>邓力夫</v>
      </c>
      <c r="E472" s="5" t="str">
        <f>"男"</f>
        <v>男</v>
      </c>
      <c r="F472" s="5" t="str">
        <f>"汉族"</f>
        <v>汉族</v>
      </c>
    </row>
    <row r="473" ht="30" customHeight="1" spans="1:6">
      <c r="A473" s="5">
        <v>471</v>
      </c>
      <c r="B473" s="5" t="str">
        <f>"36412022010713085891504"</f>
        <v>36412022010713085891504</v>
      </c>
      <c r="C473" s="5" t="s">
        <v>15</v>
      </c>
      <c r="D473" s="5" t="str">
        <f>"朱美丽"</f>
        <v>朱美丽</v>
      </c>
      <c r="E473" s="5" t="str">
        <f>"女"</f>
        <v>女</v>
      </c>
      <c r="F473" s="5" t="str">
        <f>"汉族"</f>
        <v>汉族</v>
      </c>
    </row>
    <row r="474" ht="30" customHeight="1" spans="1:6">
      <c r="A474" s="5">
        <v>472</v>
      </c>
      <c r="B474" s="5" t="str">
        <f>"36412022010715183591919"</f>
        <v>36412022010715183591919</v>
      </c>
      <c r="C474" s="5" t="s">
        <v>15</v>
      </c>
      <c r="D474" s="5" t="str">
        <f>"王咸汉"</f>
        <v>王咸汉</v>
      </c>
      <c r="E474" s="5" t="str">
        <f>"男"</f>
        <v>男</v>
      </c>
      <c r="F474" s="5" t="str">
        <f>"汉族"</f>
        <v>汉族</v>
      </c>
    </row>
    <row r="475" ht="30" customHeight="1" spans="1:6">
      <c r="A475" s="5">
        <v>473</v>
      </c>
      <c r="B475" s="5" t="str">
        <f>"36412022010715233791942"</f>
        <v>36412022010715233791942</v>
      </c>
      <c r="C475" s="5" t="s">
        <v>15</v>
      </c>
      <c r="D475" s="5" t="str">
        <f>"符克芳"</f>
        <v>符克芳</v>
      </c>
      <c r="E475" s="5" t="str">
        <f t="shared" ref="E475:E490" si="53">"女"</f>
        <v>女</v>
      </c>
      <c r="F475" s="5" t="str">
        <f>"黎族"</f>
        <v>黎族</v>
      </c>
    </row>
    <row r="476" ht="30" customHeight="1" spans="1:6">
      <c r="A476" s="5">
        <v>474</v>
      </c>
      <c r="B476" s="5" t="str">
        <f>"36412022010715385392008"</f>
        <v>36412022010715385392008</v>
      </c>
      <c r="C476" s="5" t="s">
        <v>15</v>
      </c>
      <c r="D476" s="5" t="str">
        <f>"梁小娟"</f>
        <v>梁小娟</v>
      </c>
      <c r="E476" s="5" t="str">
        <f t="shared" si="53"/>
        <v>女</v>
      </c>
      <c r="F476" s="5" t="str">
        <f>"汉族"</f>
        <v>汉族</v>
      </c>
    </row>
    <row r="477" ht="30" customHeight="1" spans="1:6">
      <c r="A477" s="5">
        <v>475</v>
      </c>
      <c r="B477" s="5" t="str">
        <f>"36412022010716150792171"</f>
        <v>36412022010716150792171</v>
      </c>
      <c r="C477" s="5" t="s">
        <v>15</v>
      </c>
      <c r="D477" s="5" t="str">
        <f>"符淑婷"</f>
        <v>符淑婷</v>
      </c>
      <c r="E477" s="5" t="str">
        <f t="shared" si="53"/>
        <v>女</v>
      </c>
      <c r="F477" s="5" t="str">
        <f>"黎族"</f>
        <v>黎族</v>
      </c>
    </row>
    <row r="478" ht="30" customHeight="1" spans="1:6">
      <c r="A478" s="5">
        <v>476</v>
      </c>
      <c r="B478" s="5" t="str">
        <f>"36412022010720051392701"</f>
        <v>36412022010720051392701</v>
      </c>
      <c r="C478" s="5" t="s">
        <v>15</v>
      </c>
      <c r="D478" s="5" t="str">
        <f>"黎阿娇"</f>
        <v>黎阿娇</v>
      </c>
      <c r="E478" s="5" t="str">
        <f t="shared" si="53"/>
        <v>女</v>
      </c>
      <c r="F478" s="5" t="str">
        <f t="shared" ref="F478:F486" si="54">"汉族"</f>
        <v>汉族</v>
      </c>
    </row>
    <row r="479" ht="30" customHeight="1" spans="1:6">
      <c r="A479" s="5">
        <v>477</v>
      </c>
      <c r="B479" s="5" t="str">
        <f>"36412022010721375392861"</f>
        <v>36412022010721375392861</v>
      </c>
      <c r="C479" s="5" t="s">
        <v>15</v>
      </c>
      <c r="D479" s="5" t="str">
        <f>"曾春梅"</f>
        <v>曾春梅</v>
      </c>
      <c r="E479" s="5" t="str">
        <f t="shared" si="53"/>
        <v>女</v>
      </c>
      <c r="F479" s="5" t="str">
        <f t="shared" si="54"/>
        <v>汉族</v>
      </c>
    </row>
    <row r="480" ht="30" customHeight="1" spans="1:6">
      <c r="A480" s="5">
        <v>478</v>
      </c>
      <c r="B480" s="5" t="str">
        <f>"36412022010722201492938"</f>
        <v>36412022010722201492938</v>
      </c>
      <c r="C480" s="5" t="s">
        <v>15</v>
      </c>
      <c r="D480" s="5" t="str">
        <f>"冯美"</f>
        <v>冯美</v>
      </c>
      <c r="E480" s="5" t="str">
        <f t="shared" si="53"/>
        <v>女</v>
      </c>
      <c r="F480" s="5" t="str">
        <f t="shared" si="54"/>
        <v>汉族</v>
      </c>
    </row>
    <row r="481" ht="30" customHeight="1" spans="1:6">
      <c r="A481" s="5">
        <v>479</v>
      </c>
      <c r="B481" s="5" t="str">
        <f>"36412022010802521093083"</f>
        <v>36412022010802521093083</v>
      </c>
      <c r="C481" s="5" t="s">
        <v>15</v>
      </c>
      <c r="D481" s="5" t="str">
        <f>"羊丽英"</f>
        <v>羊丽英</v>
      </c>
      <c r="E481" s="5" t="str">
        <f t="shared" si="53"/>
        <v>女</v>
      </c>
      <c r="F481" s="5" t="str">
        <f t="shared" si="54"/>
        <v>汉族</v>
      </c>
    </row>
    <row r="482" ht="30" customHeight="1" spans="1:6">
      <c r="A482" s="5">
        <v>480</v>
      </c>
      <c r="B482" s="5" t="str">
        <f>"36412022010810540293254"</f>
        <v>36412022010810540293254</v>
      </c>
      <c r="C482" s="5" t="s">
        <v>15</v>
      </c>
      <c r="D482" s="5" t="str">
        <f>"黄淑美"</f>
        <v>黄淑美</v>
      </c>
      <c r="E482" s="5" t="str">
        <f t="shared" si="53"/>
        <v>女</v>
      </c>
      <c r="F482" s="5" t="str">
        <f t="shared" si="54"/>
        <v>汉族</v>
      </c>
    </row>
    <row r="483" ht="30" customHeight="1" spans="1:6">
      <c r="A483" s="5">
        <v>481</v>
      </c>
      <c r="B483" s="5" t="str">
        <f>"36412022010817392693842"</f>
        <v>36412022010817392693842</v>
      </c>
      <c r="C483" s="5" t="s">
        <v>15</v>
      </c>
      <c r="D483" s="5" t="str">
        <f>"林小裕"</f>
        <v>林小裕</v>
      </c>
      <c r="E483" s="5" t="str">
        <f t="shared" si="53"/>
        <v>女</v>
      </c>
      <c r="F483" s="5" t="str">
        <f t="shared" si="54"/>
        <v>汉族</v>
      </c>
    </row>
    <row r="484" ht="30" customHeight="1" spans="1:6">
      <c r="A484" s="5">
        <v>482</v>
      </c>
      <c r="B484" s="5" t="str">
        <f>"36412022010817563293873"</f>
        <v>36412022010817563293873</v>
      </c>
      <c r="C484" s="5" t="s">
        <v>15</v>
      </c>
      <c r="D484" s="5" t="str">
        <f>"卢燕玲"</f>
        <v>卢燕玲</v>
      </c>
      <c r="E484" s="5" t="str">
        <f t="shared" si="53"/>
        <v>女</v>
      </c>
      <c r="F484" s="5" t="str">
        <f t="shared" si="54"/>
        <v>汉族</v>
      </c>
    </row>
    <row r="485" ht="30" customHeight="1" spans="1:6">
      <c r="A485" s="5">
        <v>483</v>
      </c>
      <c r="B485" s="5" t="str">
        <f>"36412022010818063293888"</f>
        <v>36412022010818063293888</v>
      </c>
      <c r="C485" s="5" t="s">
        <v>15</v>
      </c>
      <c r="D485" s="5" t="str">
        <f>"唐永佳"</f>
        <v>唐永佳</v>
      </c>
      <c r="E485" s="5" t="str">
        <f t="shared" si="53"/>
        <v>女</v>
      </c>
      <c r="F485" s="5" t="str">
        <f t="shared" si="54"/>
        <v>汉族</v>
      </c>
    </row>
    <row r="486" ht="30" customHeight="1" spans="1:6">
      <c r="A486" s="5">
        <v>484</v>
      </c>
      <c r="B486" s="5" t="str">
        <f>"36412022010821500294298"</f>
        <v>36412022010821500294298</v>
      </c>
      <c r="C486" s="5" t="s">
        <v>15</v>
      </c>
      <c r="D486" s="5" t="str">
        <f>"李永芬"</f>
        <v>李永芬</v>
      </c>
      <c r="E486" s="5" t="str">
        <f t="shared" si="53"/>
        <v>女</v>
      </c>
      <c r="F486" s="5" t="str">
        <f t="shared" si="54"/>
        <v>汉族</v>
      </c>
    </row>
    <row r="487" ht="30" customHeight="1" spans="1:6">
      <c r="A487" s="5">
        <v>485</v>
      </c>
      <c r="B487" s="5" t="str">
        <f>"36412022010900221294544"</f>
        <v>36412022010900221294544</v>
      </c>
      <c r="C487" s="5" t="s">
        <v>15</v>
      </c>
      <c r="D487" s="5" t="str">
        <f>"刘亚妹"</f>
        <v>刘亚妹</v>
      </c>
      <c r="E487" s="5" t="str">
        <f t="shared" si="53"/>
        <v>女</v>
      </c>
      <c r="F487" s="5" t="str">
        <f>"黎族"</f>
        <v>黎族</v>
      </c>
    </row>
    <row r="488" ht="30" customHeight="1" spans="1:6">
      <c r="A488" s="5">
        <v>486</v>
      </c>
      <c r="B488" s="5" t="str">
        <f>"36412022010910531294837"</f>
        <v>36412022010910531294837</v>
      </c>
      <c r="C488" s="5" t="s">
        <v>15</v>
      </c>
      <c r="D488" s="5" t="str">
        <f>"叶玉会"</f>
        <v>叶玉会</v>
      </c>
      <c r="E488" s="5" t="str">
        <f t="shared" si="53"/>
        <v>女</v>
      </c>
      <c r="F488" s="5" t="str">
        <f>"黎族"</f>
        <v>黎族</v>
      </c>
    </row>
    <row r="489" ht="30" customHeight="1" spans="1:6">
      <c r="A489" s="5">
        <v>487</v>
      </c>
      <c r="B489" s="5" t="str">
        <f>"36412022010910595194858"</f>
        <v>36412022010910595194858</v>
      </c>
      <c r="C489" s="5" t="s">
        <v>15</v>
      </c>
      <c r="D489" s="5" t="str">
        <f>"谢浩玲"</f>
        <v>谢浩玲</v>
      </c>
      <c r="E489" s="5" t="str">
        <f t="shared" si="53"/>
        <v>女</v>
      </c>
      <c r="F489" s="5" t="str">
        <f t="shared" ref="F489:F494" si="55">"汉族"</f>
        <v>汉族</v>
      </c>
    </row>
    <row r="490" ht="30" customHeight="1" spans="1:6">
      <c r="A490" s="5">
        <v>488</v>
      </c>
      <c r="B490" s="5" t="str">
        <f>"36412022010911400394979"</f>
        <v>36412022010911400394979</v>
      </c>
      <c r="C490" s="5" t="s">
        <v>15</v>
      </c>
      <c r="D490" s="5" t="str">
        <f>"吴佳欣"</f>
        <v>吴佳欣</v>
      </c>
      <c r="E490" s="5" t="str">
        <f t="shared" si="53"/>
        <v>女</v>
      </c>
      <c r="F490" s="5" t="str">
        <f t="shared" si="55"/>
        <v>汉族</v>
      </c>
    </row>
    <row r="491" ht="30" customHeight="1" spans="1:6">
      <c r="A491" s="5">
        <v>489</v>
      </c>
      <c r="B491" s="5" t="str">
        <f>"36412022010911452394991"</f>
        <v>36412022010911452394991</v>
      </c>
      <c r="C491" s="5" t="s">
        <v>15</v>
      </c>
      <c r="D491" s="5" t="str">
        <f>"林明锭"</f>
        <v>林明锭</v>
      </c>
      <c r="E491" s="5" t="str">
        <f>"男"</f>
        <v>男</v>
      </c>
      <c r="F491" s="5" t="str">
        <f t="shared" si="55"/>
        <v>汉族</v>
      </c>
    </row>
    <row r="492" ht="30" customHeight="1" spans="1:6">
      <c r="A492" s="5">
        <v>490</v>
      </c>
      <c r="B492" s="5" t="str">
        <f>"36412022010911501095004"</f>
        <v>36412022010911501095004</v>
      </c>
      <c r="C492" s="5" t="s">
        <v>15</v>
      </c>
      <c r="D492" s="5" t="str">
        <f>"王馨怡"</f>
        <v>王馨怡</v>
      </c>
      <c r="E492" s="5" t="str">
        <f>"女"</f>
        <v>女</v>
      </c>
      <c r="F492" s="5" t="str">
        <f t="shared" si="55"/>
        <v>汉族</v>
      </c>
    </row>
    <row r="493" ht="30" customHeight="1" spans="1:6">
      <c r="A493" s="5">
        <v>491</v>
      </c>
      <c r="B493" s="5" t="str">
        <f>"36412022010911560395015"</f>
        <v>36412022010911560395015</v>
      </c>
      <c r="C493" s="5" t="s">
        <v>15</v>
      </c>
      <c r="D493" s="5" t="str">
        <f>"羊彩嬉"</f>
        <v>羊彩嬉</v>
      </c>
      <c r="E493" s="5" t="str">
        <f>"女"</f>
        <v>女</v>
      </c>
      <c r="F493" s="5" t="str">
        <f t="shared" si="55"/>
        <v>汉族</v>
      </c>
    </row>
    <row r="494" ht="30" customHeight="1" spans="1:6">
      <c r="A494" s="5">
        <v>492</v>
      </c>
      <c r="B494" s="5" t="str">
        <f>"36412022010913135195174"</f>
        <v>36412022010913135195174</v>
      </c>
      <c r="C494" s="5" t="s">
        <v>15</v>
      </c>
      <c r="D494" s="5" t="str">
        <f>"张少玲"</f>
        <v>张少玲</v>
      </c>
      <c r="E494" s="5" t="str">
        <f>"女"</f>
        <v>女</v>
      </c>
      <c r="F494" s="5" t="str">
        <f t="shared" si="55"/>
        <v>汉族</v>
      </c>
    </row>
    <row r="495" ht="30" customHeight="1" spans="1:6">
      <c r="A495" s="5">
        <v>493</v>
      </c>
      <c r="B495" s="5" t="str">
        <f>"36412022010914241595317"</f>
        <v>36412022010914241595317</v>
      </c>
      <c r="C495" s="5" t="s">
        <v>15</v>
      </c>
      <c r="D495" s="5" t="str">
        <f>"张慧妹"</f>
        <v>张慧妹</v>
      </c>
      <c r="E495" s="5" t="str">
        <f>"女"</f>
        <v>女</v>
      </c>
      <c r="F495" s="5" t="str">
        <f>"黎族"</f>
        <v>黎族</v>
      </c>
    </row>
    <row r="496" ht="30" customHeight="1" spans="1:6">
      <c r="A496" s="5">
        <v>494</v>
      </c>
      <c r="B496" s="5" t="str">
        <f>"36412022010914540395372"</f>
        <v>36412022010914540395372</v>
      </c>
      <c r="C496" s="5" t="s">
        <v>15</v>
      </c>
      <c r="D496" s="5" t="str">
        <f>"符永秀"</f>
        <v>符永秀</v>
      </c>
      <c r="E496" s="5" t="str">
        <f>"女"</f>
        <v>女</v>
      </c>
      <c r="F496" s="5" t="str">
        <f>"黎族"</f>
        <v>黎族</v>
      </c>
    </row>
    <row r="497" ht="30" customHeight="1" spans="1:6">
      <c r="A497" s="5">
        <v>495</v>
      </c>
      <c r="B497" s="5" t="str">
        <f>"36412022010916253395587"</f>
        <v>36412022010916253395587</v>
      </c>
      <c r="C497" s="5" t="s">
        <v>15</v>
      </c>
      <c r="D497" s="5" t="str">
        <f>"黄海州"</f>
        <v>黄海州</v>
      </c>
      <c r="E497" s="5" t="str">
        <f>"男"</f>
        <v>男</v>
      </c>
      <c r="F497" s="5" t="str">
        <f>"汉族"</f>
        <v>汉族</v>
      </c>
    </row>
    <row r="498" ht="30" customHeight="1" spans="1:6">
      <c r="A498" s="5">
        <v>496</v>
      </c>
      <c r="B498" s="5" t="str">
        <f>"36412022010917482295702"</f>
        <v>36412022010917482295702</v>
      </c>
      <c r="C498" s="5" t="s">
        <v>15</v>
      </c>
      <c r="D498" s="5" t="str">
        <f>"梁春苗"</f>
        <v>梁春苗</v>
      </c>
      <c r="E498" s="5" t="str">
        <f t="shared" ref="E498:E513" si="56">"女"</f>
        <v>女</v>
      </c>
      <c r="F498" s="5" t="str">
        <f>"汉族"</f>
        <v>汉族</v>
      </c>
    </row>
    <row r="499" ht="30" customHeight="1" spans="1:6">
      <c r="A499" s="5">
        <v>497</v>
      </c>
      <c r="B499" s="5" t="str">
        <f>"36412022010917553995711"</f>
        <v>36412022010917553995711</v>
      </c>
      <c r="C499" s="5" t="s">
        <v>15</v>
      </c>
      <c r="D499" s="5" t="str">
        <f>"吴小艳"</f>
        <v>吴小艳</v>
      </c>
      <c r="E499" s="5" t="str">
        <f t="shared" si="56"/>
        <v>女</v>
      </c>
      <c r="F499" s="5" t="str">
        <f>"汉族"</f>
        <v>汉族</v>
      </c>
    </row>
    <row r="500" ht="30" customHeight="1" spans="1:6">
      <c r="A500" s="5">
        <v>498</v>
      </c>
      <c r="B500" s="5" t="str">
        <f>"36412022010920203495893"</f>
        <v>36412022010920203495893</v>
      </c>
      <c r="C500" s="5" t="s">
        <v>15</v>
      </c>
      <c r="D500" s="5" t="str">
        <f>"羊金萍"</f>
        <v>羊金萍</v>
      </c>
      <c r="E500" s="5" t="str">
        <f t="shared" si="56"/>
        <v>女</v>
      </c>
      <c r="F500" s="5" t="str">
        <f>"汉族"</f>
        <v>汉族</v>
      </c>
    </row>
    <row r="501" ht="30" customHeight="1" spans="1:6">
      <c r="A501" s="5">
        <v>499</v>
      </c>
      <c r="B501" s="5" t="str">
        <f>"36412022010920330595918"</f>
        <v>36412022010920330595918</v>
      </c>
      <c r="C501" s="5" t="s">
        <v>15</v>
      </c>
      <c r="D501" s="5" t="str">
        <f>"陈月炜"</f>
        <v>陈月炜</v>
      </c>
      <c r="E501" s="5" t="str">
        <f t="shared" si="56"/>
        <v>女</v>
      </c>
      <c r="F501" s="5" t="str">
        <f>"汉族"</f>
        <v>汉族</v>
      </c>
    </row>
    <row r="502" ht="30" customHeight="1" spans="1:6">
      <c r="A502" s="5">
        <v>500</v>
      </c>
      <c r="B502" s="5" t="str">
        <f>"36412022010921395796046"</f>
        <v>36412022010921395796046</v>
      </c>
      <c r="C502" s="5" t="s">
        <v>15</v>
      </c>
      <c r="D502" s="5" t="str">
        <f>"蔡亲贝"</f>
        <v>蔡亲贝</v>
      </c>
      <c r="E502" s="5" t="str">
        <f t="shared" si="56"/>
        <v>女</v>
      </c>
      <c r="F502" s="5" t="str">
        <f>"黎族"</f>
        <v>黎族</v>
      </c>
    </row>
    <row r="503" ht="30" customHeight="1" spans="1:6">
      <c r="A503" s="5">
        <v>501</v>
      </c>
      <c r="B503" s="5" t="str">
        <f>"36412022010921423096051"</f>
        <v>36412022010921423096051</v>
      </c>
      <c r="C503" s="5" t="s">
        <v>15</v>
      </c>
      <c r="D503" s="5" t="str">
        <f>"吴月来"</f>
        <v>吴月来</v>
      </c>
      <c r="E503" s="5" t="str">
        <f t="shared" si="56"/>
        <v>女</v>
      </c>
      <c r="F503" s="5" t="str">
        <f t="shared" ref="F503:F511" si="57">"汉族"</f>
        <v>汉族</v>
      </c>
    </row>
    <row r="504" ht="30" customHeight="1" spans="1:6">
      <c r="A504" s="5">
        <v>502</v>
      </c>
      <c r="B504" s="5" t="str">
        <f>"36412022010922361296158"</f>
        <v>36412022010922361296158</v>
      </c>
      <c r="C504" s="5" t="s">
        <v>15</v>
      </c>
      <c r="D504" s="5" t="str">
        <f>"王美纺"</f>
        <v>王美纺</v>
      </c>
      <c r="E504" s="5" t="str">
        <f t="shared" si="56"/>
        <v>女</v>
      </c>
      <c r="F504" s="5" t="str">
        <f t="shared" si="57"/>
        <v>汉族</v>
      </c>
    </row>
    <row r="505" ht="30" customHeight="1" spans="1:6">
      <c r="A505" s="5">
        <v>503</v>
      </c>
      <c r="B505" s="5" t="str">
        <f>"36412022011009005796408"</f>
        <v>36412022011009005796408</v>
      </c>
      <c r="C505" s="5" t="s">
        <v>15</v>
      </c>
      <c r="D505" s="5" t="str">
        <f>"陈志美"</f>
        <v>陈志美</v>
      </c>
      <c r="E505" s="5" t="str">
        <f t="shared" si="56"/>
        <v>女</v>
      </c>
      <c r="F505" s="5" t="str">
        <f t="shared" si="57"/>
        <v>汉族</v>
      </c>
    </row>
    <row r="506" ht="30" customHeight="1" spans="1:6">
      <c r="A506" s="5">
        <v>504</v>
      </c>
      <c r="B506" s="5" t="str">
        <f>"36412022011009392896516"</f>
        <v>36412022011009392896516</v>
      </c>
      <c r="C506" s="5" t="s">
        <v>15</v>
      </c>
      <c r="D506" s="5" t="str">
        <f>"黎井秀"</f>
        <v>黎井秀</v>
      </c>
      <c r="E506" s="5" t="str">
        <f t="shared" si="56"/>
        <v>女</v>
      </c>
      <c r="F506" s="5" t="str">
        <f t="shared" si="57"/>
        <v>汉族</v>
      </c>
    </row>
    <row r="507" ht="30" customHeight="1" spans="1:6">
      <c r="A507" s="5">
        <v>505</v>
      </c>
      <c r="B507" s="5" t="str">
        <f>"36412022011010354596707"</f>
        <v>36412022011010354596707</v>
      </c>
      <c r="C507" s="5" t="s">
        <v>15</v>
      </c>
      <c r="D507" s="5" t="str">
        <f>"文丽珍"</f>
        <v>文丽珍</v>
      </c>
      <c r="E507" s="5" t="str">
        <f t="shared" si="56"/>
        <v>女</v>
      </c>
      <c r="F507" s="5" t="str">
        <f t="shared" si="57"/>
        <v>汉族</v>
      </c>
    </row>
    <row r="508" ht="30" customHeight="1" spans="1:6">
      <c r="A508" s="5">
        <v>506</v>
      </c>
      <c r="B508" s="5" t="str">
        <f>"36412022011010410196731"</f>
        <v>36412022011010410196731</v>
      </c>
      <c r="C508" s="5" t="s">
        <v>15</v>
      </c>
      <c r="D508" s="5" t="str">
        <f>"卓云娇"</f>
        <v>卓云娇</v>
      </c>
      <c r="E508" s="5" t="str">
        <f t="shared" si="56"/>
        <v>女</v>
      </c>
      <c r="F508" s="5" t="str">
        <f t="shared" si="57"/>
        <v>汉族</v>
      </c>
    </row>
    <row r="509" ht="30" customHeight="1" spans="1:6">
      <c r="A509" s="5">
        <v>507</v>
      </c>
      <c r="B509" s="5" t="str">
        <f>"36412022011011135596841"</f>
        <v>36412022011011135596841</v>
      </c>
      <c r="C509" s="5" t="s">
        <v>15</v>
      </c>
      <c r="D509" s="5" t="str">
        <f>"陈丽兰"</f>
        <v>陈丽兰</v>
      </c>
      <c r="E509" s="5" t="str">
        <f t="shared" si="56"/>
        <v>女</v>
      </c>
      <c r="F509" s="5" t="str">
        <f t="shared" si="57"/>
        <v>汉族</v>
      </c>
    </row>
    <row r="510" ht="30" customHeight="1" spans="1:6">
      <c r="A510" s="5">
        <v>508</v>
      </c>
      <c r="B510" s="5" t="str">
        <f>"36412022011011250496877"</f>
        <v>36412022011011250496877</v>
      </c>
      <c r="C510" s="5" t="s">
        <v>15</v>
      </c>
      <c r="D510" s="5" t="str">
        <f>"何发川"</f>
        <v>何发川</v>
      </c>
      <c r="E510" s="5" t="str">
        <f t="shared" si="56"/>
        <v>女</v>
      </c>
      <c r="F510" s="5" t="str">
        <f t="shared" si="57"/>
        <v>汉族</v>
      </c>
    </row>
    <row r="511" ht="30" customHeight="1" spans="1:6">
      <c r="A511" s="5">
        <v>509</v>
      </c>
      <c r="B511" s="5" t="str">
        <f>"36412022011011521096958"</f>
        <v>36412022011011521096958</v>
      </c>
      <c r="C511" s="5" t="s">
        <v>15</v>
      </c>
      <c r="D511" s="5" t="str">
        <f>"陈婆燕"</f>
        <v>陈婆燕</v>
      </c>
      <c r="E511" s="5" t="str">
        <f t="shared" si="56"/>
        <v>女</v>
      </c>
      <c r="F511" s="5" t="str">
        <f t="shared" si="57"/>
        <v>汉族</v>
      </c>
    </row>
    <row r="512" ht="30" customHeight="1" spans="1:6">
      <c r="A512" s="5">
        <v>510</v>
      </c>
      <c r="B512" s="5" t="str">
        <f>"36412021123111160870261"</f>
        <v>36412021123111160870261</v>
      </c>
      <c r="C512" s="5" t="s">
        <v>16</v>
      </c>
      <c r="D512" s="5" t="str">
        <f>"刘海霞"</f>
        <v>刘海霞</v>
      </c>
      <c r="E512" s="5" t="str">
        <f t="shared" si="56"/>
        <v>女</v>
      </c>
      <c r="F512" s="5" t="str">
        <f>"黎族"</f>
        <v>黎族</v>
      </c>
    </row>
    <row r="513" ht="30" customHeight="1" spans="1:6">
      <c r="A513" s="5">
        <v>511</v>
      </c>
      <c r="B513" s="5" t="str">
        <f>"36412021123112170770433"</f>
        <v>36412021123112170770433</v>
      </c>
      <c r="C513" s="5" t="s">
        <v>16</v>
      </c>
      <c r="D513" s="5" t="str">
        <f>"符兰妍"</f>
        <v>符兰妍</v>
      </c>
      <c r="E513" s="5" t="str">
        <f t="shared" si="56"/>
        <v>女</v>
      </c>
      <c r="F513" s="5" t="str">
        <f t="shared" ref="F513:F539" si="58">"汉族"</f>
        <v>汉族</v>
      </c>
    </row>
    <row r="514" ht="30" customHeight="1" spans="1:6">
      <c r="A514" s="5">
        <v>512</v>
      </c>
      <c r="B514" s="5" t="str">
        <f>"36412021123114182070702"</f>
        <v>36412021123114182070702</v>
      </c>
      <c r="C514" s="5" t="s">
        <v>16</v>
      </c>
      <c r="D514" s="5" t="str">
        <f>"张鑫"</f>
        <v>张鑫</v>
      </c>
      <c r="E514" s="5" t="str">
        <f>"男"</f>
        <v>男</v>
      </c>
      <c r="F514" s="5" t="str">
        <f t="shared" si="58"/>
        <v>汉族</v>
      </c>
    </row>
    <row r="515" ht="30" customHeight="1" spans="1:6">
      <c r="A515" s="5">
        <v>513</v>
      </c>
      <c r="B515" s="5" t="str">
        <f>"36412021123114244670719"</f>
        <v>36412021123114244670719</v>
      </c>
      <c r="C515" s="5" t="s">
        <v>16</v>
      </c>
      <c r="D515" s="5" t="str">
        <f>"赵琦"</f>
        <v>赵琦</v>
      </c>
      <c r="E515" s="5" t="str">
        <f t="shared" ref="E515:E523" si="59">"女"</f>
        <v>女</v>
      </c>
      <c r="F515" s="5" t="str">
        <f t="shared" si="58"/>
        <v>汉族</v>
      </c>
    </row>
    <row r="516" ht="30" customHeight="1" spans="1:6">
      <c r="A516" s="5">
        <v>514</v>
      </c>
      <c r="B516" s="5" t="str">
        <f>"36412021123119140171221"</f>
        <v>36412021123119140171221</v>
      </c>
      <c r="C516" s="5" t="s">
        <v>16</v>
      </c>
      <c r="D516" s="5" t="str">
        <f>"贺琳"</f>
        <v>贺琳</v>
      </c>
      <c r="E516" s="5" t="str">
        <f t="shared" si="59"/>
        <v>女</v>
      </c>
      <c r="F516" s="5" t="str">
        <f t="shared" si="58"/>
        <v>汉族</v>
      </c>
    </row>
    <row r="517" ht="30" customHeight="1" spans="1:6">
      <c r="A517" s="5">
        <v>515</v>
      </c>
      <c r="B517" s="5" t="str">
        <f>"36412021123121032071305"</f>
        <v>36412021123121032071305</v>
      </c>
      <c r="C517" s="5" t="s">
        <v>16</v>
      </c>
      <c r="D517" s="5" t="str">
        <f>"吴艺洁"</f>
        <v>吴艺洁</v>
      </c>
      <c r="E517" s="5" t="str">
        <f t="shared" si="59"/>
        <v>女</v>
      </c>
      <c r="F517" s="5" t="str">
        <f t="shared" si="58"/>
        <v>汉族</v>
      </c>
    </row>
    <row r="518" ht="30" customHeight="1" spans="1:6">
      <c r="A518" s="5">
        <v>516</v>
      </c>
      <c r="B518" s="5" t="str">
        <f>"36412021123122494871374"</f>
        <v>36412021123122494871374</v>
      </c>
      <c r="C518" s="5" t="s">
        <v>16</v>
      </c>
      <c r="D518" s="5" t="str">
        <f>"符欣欣"</f>
        <v>符欣欣</v>
      </c>
      <c r="E518" s="5" t="str">
        <f t="shared" si="59"/>
        <v>女</v>
      </c>
      <c r="F518" s="5" t="str">
        <f t="shared" si="58"/>
        <v>汉族</v>
      </c>
    </row>
    <row r="519" ht="30" customHeight="1" spans="1:6">
      <c r="A519" s="5">
        <v>517</v>
      </c>
      <c r="B519" s="5" t="str">
        <f>"36412022010114134071842"</f>
        <v>36412022010114134071842</v>
      </c>
      <c r="C519" s="5" t="s">
        <v>16</v>
      </c>
      <c r="D519" s="5" t="str">
        <f>"罗圣玲"</f>
        <v>罗圣玲</v>
      </c>
      <c r="E519" s="5" t="str">
        <f t="shared" si="59"/>
        <v>女</v>
      </c>
      <c r="F519" s="5" t="str">
        <f t="shared" si="58"/>
        <v>汉族</v>
      </c>
    </row>
    <row r="520" ht="30" customHeight="1" spans="1:6">
      <c r="A520" s="5">
        <v>518</v>
      </c>
      <c r="B520" s="5" t="str">
        <f>"36412022010115530571934"</f>
        <v>36412022010115530571934</v>
      </c>
      <c r="C520" s="5" t="s">
        <v>16</v>
      </c>
      <c r="D520" s="5" t="str">
        <f>"许雯怡"</f>
        <v>许雯怡</v>
      </c>
      <c r="E520" s="5" t="str">
        <f t="shared" si="59"/>
        <v>女</v>
      </c>
      <c r="F520" s="5" t="str">
        <f t="shared" si="58"/>
        <v>汉族</v>
      </c>
    </row>
    <row r="521" ht="30" customHeight="1" spans="1:6">
      <c r="A521" s="5">
        <v>519</v>
      </c>
      <c r="B521" s="5" t="str">
        <f>"36412022010115580371938"</f>
        <v>36412022010115580371938</v>
      </c>
      <c r="C521" s="5" t="s">
        <v>16</v>
      </c>
      <c r="D521" s="5" t="str">
        <f>"黄海珍"</f>
        <v>黄海珍</v>
      </c>
      <c r="E521" s="5" t="str">
        <f t="shared" si="59"/>
        <v>女</v>
      </c>
      <c r="F521" s="5" t="str">
        <f t="shared" si="58"/>
        <v>汉族</v>
      </c>
    </row>
    <row r="522" ht="30" customHeight="1" spans="1:6">
      <c r="A522" s="5">
        <v>520</v>
      </c>
      <c r="B522" s="5" t="str">
        <f>"36412022010209084172444"</f>
        <v>36412022010209084172444</v>
      </c>
      <c r="C522" s="5" t="s">
        <v>16</v>
      </c>
      <c r="D522" s="5" t="str">
        <f>"林雯霞"</f>
        <v>林雯霞</v>
      </c>
      <c r="E522" s="5" t="str">
        <f t="shared" si="59"/>
        <v>女</v>
      </c>
      <c r="F522" s="5" t="str">
        <f t="shared" si="58"/>
        <v>汉族</v>
      </c>
    </row>
    <row r="523" ht="30" customHeight="1" spans="1:6">
      <c r="A523" s="5">
        <v>521</v>
      </c>
      <c r="B523" s="5" t="str">
        <f>"36412022010210150972522"</f>
        <v>36412022010210150972522</v>
      </c>
      <c r="C523" s="5" t="s">
        <v>16</v>
      </c>
      <c r="D523" s="5" t="str">
        <f>"吴方花"</f>
        <v>吴方花</v>
      </c>
      <c r="E523" s="5" t="str">
        <f t="shared" si="59"/>
        <v>女</v>
      </c>
      <c r="F523" s="5" t="str">
        <f t="shared" si="58"/>
        <v>汉族</v>
      </c>
    </row>
    <row r="524" ht="30" customHeight="1" spans="1:6">
      <c r="A524" s="5">
        <v>522</v>
      </c>
      <c r="B524" s="5" t="str">
        <f>"36412022010219193273170"</f>
        <v>36412022010219193273170</v>
      </c>
      <c r="C524" s="5" t="s">
        <v>16</v>
      </c>
      <c r="D524" s="5" t="str">
        <f>"吴永强"</f>
        <v>吴永强</v>
      </c>
      <c r="E524" s="5" t="str">
        <f>"男"</f>
        <v>男</v>
      </c>
      <c r="F524" s="5" t="str">
        <f t="shared" si="58"/>
        <v>汉族</v>
      </c>
    </row>
    <row r="525" ht="30" customHeight="1" spans="1:6">
      <c r="A525" s="5">
        <v>523</v>
      </c>
      <c r="B525" s="5" t="str">
        <f>"36412022010223240373421"</f>
        <v>36412022010223240373421</v>
      </c>
      <c r="C525" s="5" t="s">
        <v>16</v>
      </c>
      <c r="D525" s="5" t="str">
        <f>"陈娟"</f>
        <v>陈娟</v>
      </c>
      <c r="E525" s="5" t="str">
        <f t="shared" ref="E525:E530" si="60">"女"</f>
        <v>女</v>
      </c>
      <c r="F525" s="5" t="str">
        <f t="shared" si="58"/>
        <v>汉族</v>
      </c>
    </row>
    <row r="526" ht="30" customHeight="1" spans="1:6">
      <c r="A526" s="5">
        <v>524</v>
      </c>
      <c r="B526" s="5" t="str">
        <f>"36412022010306321573474"</f>
        <v>36412022010306321573474</v>
      </c>
      <c r="C526" s="5" t="s">
        <v>16</v>
      </c>
      <c r="D526" s="5" t="str">
        <f>"黄秋珊"</f>
        <v>黄秋珊</v>
      </c>
      <c r="E526" s="5" t="str">
        <f t="shared" si="60"/>
        <v>女</v>
      </c>
      <c r="F526" s="5" t="str">
        <f t="shared" si="58"/>
        <v>汉族</v>
      </c>
    </row>
    <row r="527" ht="30" customHeight="1" spans="1:6">
      <c r="A527" s="5">
        <v>525</v>
      </c>
      <c r="B527" s="5" t="str">
        <f>"36412022010319381576224"</f>
        <v>36412022010319381576224</v>
      </c>
      <c r="C527" s="5" t="s">
        <v>16</v>
      </c>
      <c r="D527" s="5" t="str">
        <f>"田野"</f>
        <v>田野</v>
      </c>
      <c r="E527" s="5" t="str">
        <f t="shared" si="60"/>
        <v>女</v>
      </c>
      <c r="F527" s="5" t="str">
        <f t="shared" si="58"/>
        <v>汉族</v>
      </c>
    </row>
    <row r="528" ht="30" customHeight="1" spans="1:6">
      <c r="A528" s="5">
        <v>526</v>
      </c>
      <c r="B528" s="5" t="str">
        <f>"36412022010409030877406"</f>
        <v>36412022010409030877406</v>
      </c>
      <c r="C528" s="5" t="s">
        <v>16</v>
      </c>
      <c r="D528" s="5" t="str">
        <f>"张小净"</f>
        <v>张小净</v>
      </c>
      <c r="E528" s="5" t="str">
        <f t="shared" si="60"/>
        <v>女</v>
      </c>
      <c r="F528" s="5" t="str">
        <f t="shared" si="58"/>
        <v>汉族</v>
      </c>
    </row>
    <row r="529" ht="30" customHeight="1" spans="1:6">
      <c r="A529" s="5">
        <v>527</v>
      </c>
      <c r="B529" s="5" t="str">
        <f>"36412022010411104278525"</f>
        <v>36412022010411104278525</v>
      </c>
      <c r="C529" s="5" t="s">
        <v>16</v>
      </c>
      <c r="D529" s="5" t="str">
        <f>"俞春丽"</f>
        <v>俞春丽</v>
      </c>
      <c r="E529" s="5" t="str">
        <f t="shared" si="60"/>
        <v>女</v>
      </c>
      <c r="F529" s="5" t="str">
        <f t="shared" si="58"/>
        <v>汉族</v>
      </c>
    </row>
    <row r="530" ht="30" customHeight="1" spans="1:6">
      <c r="A530" s="5">
        <v>528</v>
      </c>
      <c r="B530" s="5" t="str">
        <f>"36412022010412392479065"</f>
        <v>36412022010412392479065</v>
      </c>
      <c r="C530" s="5" t="s">
        <v>16</v>
      </c>
      <c r="D530" s="5" t="str">
        <f>"莫海元"</f>
        <v>莫海元</v>
      </c>
      <c r="E530" s="5" t="str">
        <f t="shared" si="60"/>
        <v>女</v>
      </c>
      <c r="F530" s="5" t="str">
        <f t="shared" si="58"/>
        <v>汉族</v>
      </c>
    </row>
    <row r="531" ht="30" customHeight="1" spans="1:6">
      <c r="A531" s="5">
        <v>529</v>
      </c>
      <c r="B531" s="5" t="str">
        <f>"36412022010413404179329"</f>
        <v>36412022010413404179329</v>
      </c>
      <c r="C531" s="5" t="s">
        <v>16</v>
      </c>
      <c r="D531" s="5" t="str">
        <f>"赵士博"</f>
        <v>赵士博</v>
      </c>
      <c r="E531" s="5" t="str">
        <f>"男"</f>
        <v>男</v>
      </c>
      <c r="F531" s="5" t="str">
        <f t="shared" si="58"/>
        <v>汉族</v>
      </c>
    </row>
    <row r="532" ht="30" customHeight="1" spans="1:6">
      <c r="A532" s="5">
        <v>530</v>
      </c>
      <c r="B532" s="5" t="str">
        <f>"36412022010416295980260"</f>
        <v>36412022010416295980260</v>
      </c>
      <c r="C532" s="5" t="s">
        <v>16</v>
      </c>
      <c r="D532" s="5" t="str">
        <f>"倪俊伦"</f>
        <v>倪俊伦</v>
      </c>
      <c r="E532" s="5" t="str">
        <f>"男"</f>
        <v>男</v>
      </c>
      <c r="F532" s="5" t="str">
        <f t="shared" si="58"/>
        <v>汉族</v>
      </c>
    </row>
    <row r="533" ht="30" customHeight="1" spans="1:6">
      <c r="A533" s="5">
        <v>531</v>
      </c>
      <c r="B533" s="5" t="str">
        <f>"36412022010417050480451"</f>
        <v>36412022010417050480451</v>
      </c>
      <c r="C533" s="5" t="s">
        <v>16</v>
      </c>
      <c r="D533" s="5" t="str">
        <f>"冯露"</f>
        <v>冯露</v>
      </c>
      <c r="E533" s="5" t="str">
        <f t="shared" ref="E533:E569" si="61">"女"</f>
        <v>女</v>
      </c>
      <c r="F533" s="5" t="str">
        <f t="shared" si="58"/>
        <v>汉族</v>
      </c>
    </row>
    <row r="534" ht="30" customHeight="1" spans="1:6">
      <c r="A534" s="5">
        <v>532</v>
      </c>
      <c r="B534" s="5" t="str">
        <f>"36412022010417055580458"</f>
        <v>36412022010417055580458</v>
      </c>
      <c r="C534" s="5" t="s">
        <v>16</v>
      </c>
      <c r="D534" s="5" t="str">
        <f>"吴雪萍"</f>
        <v>吴雪萍</v>
      </c>
      <c r="E534" s="5" t="str">
        <f t="shared" si="61"/>
        <v>女</v>
      </c>
      <c r="F534" s="5" t="str">
        <f t="shared" si="58"/>
        <v>汉族</v>
      </c>
    </row>
    <row r="535" ht="30" customHeight="1" spans="1:6">
      <c r="A535" s="5">
        <v>533</v>
      </c>
      <c r="B535" s="5" t="str">
        <f>"36412022010421291981718"</f>
        <v>36412022010421291981718</v>
      </c>
      <c r="C535" s="5" t="s">
        <v>16</v>
      </c>
      <c r="D535" s="5" t="str">
        <f>"李荣瑕"</f>
        <v>李荣瑕</v>
      </c>
      <c r="E535" s="5" t="str">
        <f t="shared" si="61"/>
        <v>女</v>
      </c>
      <c r="F535" s="5" t="str">
        <f t="shared" si="58"/>
        <v>汉族</v>
      </c>
    </row>
    <row r="536" ht="30" customHeight="1" spans="1:6">
      <c r="A536" s="5">
        <v>534</v>
      </c>
      <c r="B536" s="5" t="str">
        <f>"36412022010511094583340"</f>
        <v>36412022010511094583340</v>
      </c>
      <c r="C536" s="5" t="s">
        <v>16</v>
      </c>
      <c r="D536" s="5" t="str">
        <f>"孙小玉"</f>
        <v>孙小玉</v>
      </c>
      <c r="E536" s="5" t="str">
        <f t="shared" si="61"/>
        <v>女</v>
      </c>
      <c r="F536" s="5" t="str">
        <f t="shared" si="58"/>
        <v>汉族</v>
      </c>
    </row>
    <row r="537" ht="30" customHeight="1" spans="1:6">
      <c r="A537" s="5">
        <v>535</v>
      </c>
      <c r="B537" s="5" t="str">
        <f>"36412022010513114483946"</f>
        <v>36412022010513114483946</v>
      </c>
      <c r="C537" s="5" t="s">
        <v>16</v>
      </c>
      <c r="D537" s="5" t="str">
        <f>"孙春花"</f>
        <v>孙春花</v>
      </c>
      <c r="E537" s="5" t="str">
        <f t="shared" si="61"/>
        <v>女</v>
      </c>
      <c r="F537" s="5" t="str">
        <f t="shared" si="58"/>
        <v>汉族</v>
      </c>
    </row>
    <row r="538" ht="30" customHeight="1" spans="1:6">
      <c r="A538" s="5">
        <v>536</v>
      </c>
      <c r="B538" s="5" t="str">
        <f>"36412022010514044584168"</f>
        <v>36412022010514044584168</v>
      </c>
      <c r="C538" s="5" t="s">
        <v>16</v>
      </c>
      <c r="D538" s="5" t="str">
        <f>"许玲"</f>
        <v>许玲</v>
      </c>
      <c r="E538" s="5" t="str">
        <f t="shared" si="61"/>
        <v>女</v>
      </c>
      <c r="F538" s="5" t="str">
        <f t="shared" si="58"/>
        <v>汉族</v>
      </c>
    </row>
    <row r="539" ht="30" customHeight="1" spans="1:6">
      <c r="A539" s="5">
        <v>537</v>
      </c>
      <c r="B539" s="5" t="str">
        <f>"36412022010514362784317"</f>
        <v>36412022010514362784317</v>
      </c>
      <c r="C539" s="5" t="s">
        <v>16</v>
      </c>
      <c r="D539" s="5" t="str">
        <f>"李德萍"</f>
        <v>李德萍</v>
      </c>
      <c r="E539" s="5" t="str">
        <f t="shared" si="61"/>
        <v>女</v>
      </c>
      <c r="F539" s="5" t="str">
        <f t="shared" si="58"/>
        <v>汉族</v>
      </c>
    </row>
    <row r="540" ht="30" customHeight="1" spans="1:6">
      <c r="A540" s="5">
        <v>538</v>
      </c>
      <c r="B540" s="5" t="str">
        <f>"36412022010515270284597"</f>
        <v>36412022010515270284597</v>
      </c>
      <c r="C540" s="5" t="s">
        <v>16</v>
      </c>
      <c r="D540" s="5" t="str">
        <f>"史杨华"</f>
        <v>史杨华</v>
      </c>
      <c r="E540" s="5" t="str">
        <f t="shared" si="61"/>
        <v>女</v>
      </c>
      <c r="F540" s="5" t="str">
        <f>"黎族"</f>
        <v>黎族</v>
      </c>
    </row>
    <row r="541" ht="30" customHeight="1" spans="1:6">
      <c r="A541" s="5">
        <v>539</v>
      </c>
      <c r="B541" s="5" t="str">
        <f>"36412022010516331684955"</f>
        <v>36412022010516331684955</v>
      </c>
      <c r="C541" s="5" t="s">
        <v>16</v>
      </c>
      <c r="D541" s="5" t="str">
        <f>"符应桃"</f>
        <v>符应桃</v>
      </c>
      <c r="E541" s="5" t="str">
        <f t="shared" si="61"/>
        <v>女</v>
      </c>
      <c r="F541" s="5" t="str">
        <f>"黎族"</f>
        <v>黎族</v>
      </c>
    </row>
    <row r="542" ht="30" customHeight="1" spans="1:6">
      <c r="A542" s="5">
        <v>540</v>
      </c>
      <c r="B542" s="5" t="str">
        <f>"36412022010517103385151"</f>
        <v>36412022010517103385151</v>
      </c>
      <c r="C542" s="5" t="s">
        <v>16</v>
      </c>
      <c r="D542" s="5" t="str">
        <f>"黄小妹"</f>
        <v>黄小妹</v>
      </c>
      <c r="E542" s="5" t="str">
        <f t="shared" si="61"/>
        <v>女</v>
      </c>
      <c r="F542" s="5" t="str">
        <f>"汉族"</f>
        <v>汉族</v>
      </c>
    </row>
    <row r="543" ht="30" customHeight="1" spans="1:6">
      <c r="A543" s="5">
        <v>541</v>
      </c>
      <c r="B543" s="5" t="str">
        <f>"36412022010521264886198"</f>
        <v>36412022010521264886198</v>
      </c>
      <c r="C543" s="5" t="s">
        <v>16</v>
      </c>
      <c r="D543" s="5" t="str">
        <f>"陈林燕"</f>
        <v>陈林燕</v>
      </c>
      <c r="E543" s="5" t="str">
        <f t="shared" si="61"/>
        <v>女</v>
      </c>
      <c r="F543" s="5" t="str">
        <f>"汉族"</f>
        <v>汉族</v>
      </c>
    </row>
    <row r="544" ht="30" customHeight="1" spans="1:6">
      <c r="A544" s="5">
        <v>542</v>
      </c>
      <c r="B544" s="5" t="str">
        <f>"36412022010522482386549"</f>
        <v>36412022010522482386549</v>
      </c>
      <c r="C544" s="5" t="s">
        <v>16</v>
      </c>
      <c r="D544" s="5" t="str">
        <f>"王祎"</f>
        <v>王祎</v>
      </c>
      <c r="E544" s="5" t="str">
        <f t="shared" si="61"/>
        <v>女</v>
      </c>
      <c r="F544" s="5" t="str">
        <f>"黎族"</f>
        <v>黎族</v>
      </c>
    </row>
    <row r="545" ht="30" customHeight="1" spans="1:6">
      <c r="A545" s="5">
        <v>543</v>
      </c>
      <c r="B545" s="5" t="str">
        <f>"36412022010608481686912"</f>
        <v>36412022010608481686912</v>
      </c>
      <c r="C545" s="5" t="s">
        <v>16</v>
      </c>
      <c r="D545" s="5" t="str">
        <f>"何一秋"</f>
        <v>何一秋</v>
      </c>
      <c r="E545" s="5" t="str">
        <f t="shared" si="61"/>
        <v>女</v>
      </c>
      <c r="F545" s="5" t="str">
        <f t="shared" ref="F545:F552" si="62">"汉族"</f>
        <v>汉族</v>
      </c>
    </row>
    <row r="546" ht="30" customHeight="1" spans="1:6">
      <c r="A546" s="5">
        <v>544</v>
      </c>
      <c r="B546" s="5" t="str">
        <f>"36412022010609352787097"</f>
        <v>36412022010609352787097</v>
      </c>
      <c r="C546" s="5" t="s">
        <v>16</v>
      </c>
      <c r="D546" s="5" t="str">
        <f>"梅文雪"</f>
        <v>梅文雪</v>
      </c>
      <c r="E546" s="5" t="str">
        <f t="shared" si="61"/>
        <v>女</v>
      </c>
      <c r="F546" s="5" t="str">
        <f t="shared" si="62"/>
        <v>汉族</v>
      </c>
    </row>
    <row r="547" ht="30" customHeight="1" spans="1:6">
      <c r="A547" s="5">
        <v>545</v>
      </c>
      <c r="B547" s="5" t="str">
        <f>"36412022010613133388059"</f>
        <v>36412022010613133388059</v>
      </c>
      <c r="C547" s="5" t="s">
        <v>16</v>
      </c>
      <c r="D547" s="5" t="str">
        <f>"王琼利"</f>
        <v>王琼利</v>
      </c>
      <c r="E547" s="5" t="str">
        <f t="shared" si="61"/>
        <v>女</v>
      </c>
      <c r="F547" s="5" t="str">
        <f t="shared" si="62"/>
        <v>汉族</v>
      </c>
    </row>
    <row r="548" ht="30" customHeight="1" spans="1:6">
      <c r="A548" s="5">
        <v>546</v>
      </c>
      <c r="B548" s="5" t="str">
        <f>"36412022010616112088794"</f>
        <v>36412022010616112088794</v>
      </c>
      <c r="C548" s="5" t="s">
        <v>16</v>
      </c>
      <c r="D548" s="5" t="str">
        <f>"柴智伟"</f>
        <v>柴智伟</v>
      </c>
      <c r="E548" s="5" t="str">
        <f t="shared" si="61"/>
        <v>女</v>
      </c>
      <c r="F548" s="5" t="str">
        <f t="shared" si="62"/>
        <v>汉族</v>
      </c>
    </row>
    <row r="549" ht="30" customHeight="1" spans="1:6">
      <c r="A549" s="5">
        <v>547</v>
      </c>
      <c r="B549" s="5" t="str">
        <f>"36412022010618213889305"</f>
        <v>36412022010618213889305</v>
      </c>
      <c r="C549" s="5" t="s">
        <v>16</v>
      </c>
      <c r="D549" s="5" t="str">
        <f>"郑敏"</f>
        <v>郑敏</v>
      </c>
      <c r="E549" s="5" t="str">
        <f t="shared" si="61"/>
        <v>女</v>
      </c>
      <c r="F549" s="5" t="str">
        <f t="shared" si="62"/>
        <v>汉族</v>
      </c>
    </row>
    <row r="550" ht="30" customHeight="1" spans="1:6">
      <c r="A550" s="5">
        <v>548</v>
      </c>
      <c r="B550" s="5" t="str">
        <f>"36412022010619360589520"</f>
        <v>36412022010619360589520</v>
      </c>
      <c r="C550" s="5" t="s">
        <v>16</v>
      </c>
      <c r="D550" s="5" t="str">
        <f>"文雅丽"</f>
        <v>文雅丽</v>
      </c>
      <c r="E550" s="5" t="str">
        <f t="shared" si="61"/>
        <v>女</v>
      </c>
      <c r="F550" s="5" t="str">
        <f t="shared" si="62"/>
        <v>汉族</v>
      </c>
    </row>
    <row r="551" ht="30" customHeight="1" spans="1:6">
      <c r="A551" s="5">
        <v>549</v>
      </c>
      <c r="B551" s="5" t="str">
        <f>"36412022010619534189598"</f>
        <v>36412022010619534189598</v>
      </c>
      <c r="C551" s="5" t="s">
        <v>16</v>
      </c>
      <c r="D551" s="5" t="str">
        <f>"伍淑妍"</f>
        <v>伍淑妍</v>
      </c>
      <c r="E551" s="5" t="str">
        <f t="shared" si="61"/>
        <v>女</v>
      </c>
      <c r="F551" s="5" t="str">
        <f t="shared" si="62"/>
        <v>汉族</v>
      </c>
    </row>
    <row r="552" ht="30" customHeight="1" spans="1:6">
      <c r="A552" s="5">
        <v>550</v>
      </c>
      <c r="B552" s="5" t="str">
        <f>"36412022010620451889792"</f>
        <v>36412022010620451889792</v>
      </c>
      <c r="C552" s="5" t="s">
        <v>16</v>
      </c>
      <c r="D552" s="5" t="str">
        <f>"邢叶"</f>
        <v>邢叶</v>
      </c>
      <c r="E552" s="5" t="str">
        <f t="shared" si="61"/>
        <v>女</v>
      </c>
      <c r="F552" s="5" t="str">
        <f t="shared" si="62"/>
        <v>汉族</v>
      </c>
    </row>
    <row r="553" ht="30" customHeight="1" spans="1:6">
      <c r="A553" s="5">
        <v>551</v>
      </c>
      <c r="B553" s="5" t="str">
        <f>"36412022010621174489901"</f>
        <v>36412022010621174489901</v>
      </c>
      <c r="C553" s="5" t="s">
        <v>16</v>
      </c>
      <c r="D553" s="5" t="str">
        <f>"邓玉娜"</f>
        <v>邓玉娜</v>
      </c>
      <c r="E553" s="5" t="str">
        <f t="shared" si="61"/>
        <v>女</v>
      </c>
      <c r="F553" s="5" t="str">
        <f>"苗族"</f>
        <v>苗族</v>
      </c>
    </row>
    <row r="554" ht="30" customHeight="1" spans="1:6">
      <c r="A554" s="5">
        <v>552</v>
      </c>
      <c r="B554" s="5" t="str">
        <f>"36412022010713021091475"</f>
        <v>36412022010713021091475</v>
      </c>
      <c r="C554" s="5" t="s">
        <v>16</v>
      </c>
      <c r="D554" s="5" t="str">
        <f>"麦坚慧"</f>
        <v>麦坚慧</v>
      </c>
      <c r="E554" s="5" t="str">
        <f t="shared" si="61"/>
        <v>女</v>
      </c>
      <c r="F554" s="5" t="str">
        <f t="shared" ref="F554:F560" si="63">"汉族"</f>
        <v>汉族</v>
      </c>
    </row>
    <row r="555" ht="30" customHeight="1" spans="1:6">
      <c r="A555" s="5">
        <v>553</v>
      </c>
      <c r="B555" s="5" t="str">
        <f>"36412022010713592391654"</f>
        <v>36412022010713592391654</v>
      </c>
      <c r="C555" s="5" t="s">
        <v>16</v>
      </c>
      <c r="D555" s="5" t="str">
        <f>"黎丽菁"</f>
        <v>黎丽菁</v>
      </c>
      <c r="E555" s="5" t="str">
        <f t="shared" si="61"/>
        <v>女</v>
      </c>
      <c r="F555" s="5" t="str">
        <f t="shared" si="63"/>
        <v>汉族</v>
      </c>
    </row>
    <row r="556" ht="30" customHeight="1" spans="1:6">
      <c r="A556" s="5">
        <v>554</v>
      </c>
      <c r="B556" s="5" t="str">
        <f>"36412022010717062192348"</f>
        <v>36412022010717062192348</v>
      </c>
      <c r="C556" s="5" t="s">
        <v>16</v>
      </c>
      <c r="D556" s="5" t="str">
        <f>"叶丹花"</f>
        <v>叶丹花</v>
      </c>
      <c r="E556" s="5" t="str">
        <f t="shared" si="61"/>
        <v>女</v>
      </c>
      <c r="F556" s="5" t="str">
        <f t="shared" si="63"/>
        <v>汉族</v>
      </c>
    </row>
    <row r="557" ht="30" customHeight="1" spans="1:6">
      <c r="A557" s="5">
        <v>555</v>
      </c>
      <c r="B557" s="5" t="str">
        <f>"36412022010718321592541"</f>
        <v>36412022010718321592541</v>
      </c>
      <c r="C557" s="5" t="s">
        <v>16</v>
      </c>
      <c r="D557" s="5" t="str">
        <f>"孙蕾"</f>
        <v>孙蕾</v>
      </c>
      <c r="E557" s="5" t="str">
        <f t="shared" si="61"/>
        <v>女</v>
      </c>
      <c r="F557" s="5" t="str">
        <f t="shared" si="63"/>
        <v>汉族</v>
      </c>
    </row>
    <row r="558" ht="30" customHeight="1" spans="1:6">
      <c r="A558" s="5">
        <v>556</v>
      </c>
      <c r="B558" s="5" t="str">
        <f>"36412022010811021993265"</f>
        <v>36412022010811021993265</v>
      </c>
      <c r="C558" s="5" t="s">
        <v>16</v>
      </c>
      <c r="D558" s="5" t="str">
        <f>"陈颖"</f>
        <v>陈颖</v>
      </c>
      <c r="E558" s="5" t="str">
        <f t="shared" si="61"/>
        <v>女</v>
      </c>
      <c r="F558" s="5" t="str">
        <f t="shared" si="63"/>
        <v>汉族</v>
      </c>
    </row>
    <row r="559" ht="30" customHeight="1" spans="1:6">
      <c r="A559" s="5">
        <v>557</v>
      </c>
      <c r="B559" s="5" t="str">
        <f>"36412022010813461393467"</f>
        <v>36412022010813461393467</v>
      </c>
      <c r="C559" s="5" t="s">
        <v>16</v>
      </c>
      <c r="D559" s="5" t="str">
        <f>"庞芳"</f>
        <v>庞芳</v>
      </c>
      <c r="E559" s="5" t="str">
        <f t="shared" si="61"/>
        <v>女</v>
      </c>
      <c r="F559" s="5" t="str">
        <f t="shared" si="63"/>
        <v>汉族</v>
      </c>
    </row>
    <row r="560" ht="30" customHeight="1" spans="1:6">
      <c r="A560" s="5">
        <v>558</v>
      </c>
      <c r="B560" s="5" t="str">
        <f>"36412022010815563293675"</f>
        <v>36412022010815563293675</v>
      </c>
      <c r="C560" s="5" t="s">
        <v>16</v>
      </c>
      <c r="D560" s="5" t="str">
        <f>"王亚蕊"</f>
        <v>王亚蕊</v>
      </c>
      <c r="E560" s="5" t="str">
        <f t="shared" si="61"/>
        <v>女</v>
      </c>
      <c r="F560" s="5" t="str">
        <f t="shared" si="63"/>
        <v>汉族</v>
      </c>
    </row>
    <row r="561" ht="30" customHeight="1" spans="1:6">
      <c r="A561" s="5">
        <v>559</v>
      </c>
      <c r="B561" s="5" t="str">
        <f>"36412022010816323893738"</f>
        <v>36412022010816323893738</v>
      </c>
      <c r="C561" s="5" t="s">
        <v>16</v>
      </c>
      <c r="D561" s="5" t="str">
        <f>"罗少卿"</f>
        <v>罗少卿</v>
      </c>
      <c r="E561" s="5" t="str">
        <f t="shared" si="61"/>
        <v>女</v>
      </c>
      <c r="F561" s="5" t="str">
        <f>"黎族"</f>
        <v>黎族</v>
      </c>
    </row>
    <row r="562" ht="30" customHeight="1" spans="1:6">
      <c r="A562" s="5">
        <v>560</v>
      </c>
      <c r="B562" s="5" t="str">
        <f>"36412022010816560793774"</f>
        <v>36412022010816560793774</v>
      </c>
      <c r="C562" s="5" t="s">
        <v>16</v>
      </c>
      <c r="D562" s="5" t="str">
        <f>"王鑫花"</f>
        <v>王鑫花</v>
      </c>
      <c r="E562" s="5" t="str">
        <f t="shared" si="61"/>
        <v>女</v>
      </c>
      <c r="F562" s="5" t="str">
        <f t="shared" ref="F562:F569" si="64">"汉族"</f>
        <v>汉族</v>
      </c>
    </row>
    <row r="563" ht="30" customHeight="1" spans="1:6">
      <c r="A563" s="5">
        <v>561</v>
      </c>
      <c r="B563" s="5" t="str">
        <f>"36412022010820263294119"</f>
        <v>36412022010820263294119</v>
      </c>
      <c r="C563" s="5" t="s">
        <v>16</v>
      </c>
      <c r="D563" s="5" t="str">
        <f>"廖雯丽"</f>
        <v>廖雯丽</v>
      </c>
      <c r="E563" s="5" t="str">
        <f t="shared" si="61"/>
        <v>女</v>
      </c>
      <c r="F563" s="5" t="str">
        <f t="shared" si="64"/>
        <v>汉族</v>
      </c>
    </row>
    <row r="564" ht="30" customHeight="1" spans="1:6">
      <c r="A564" s="5">
        <v>562</v>
      </c>
      <c r="B564" s="5" t="str">
        <f>"36412022010822531094426"</f>
        <v>36412022010822531094426</v>
      </c>
      <c r="C564" s="5" t="s">
        <v>16</v>
      </c>
      <c r="D564" s="5" t="str">
        <f>"钟慧"</f>
        <v>钟慧</v>
      </c>
      <c r="E564" s="5" t="str">
        <f t="shared" si="61"/>
        <v>女</v>
      </c>
      <c r="F564" s="5" t="str">
        <f t="shared" si="64"/>
        <v>汉族</v>
      </c>
    </row>
    <row r="565" ht="30" customHeight="1" spans="1:6">
      <c r="A565" s="5">
        <v>563</v>
      </c>
      <c r="B565" s="5" t="str">
        <f>"36412022010912585295140"</f>
        <v>36412022010912585295140</v>
      </c>
      <c r="C565" s="5" t="s">
        <v>16</v>
      </c>
      <c r="D565" s="5" t="str">
        <f>"吴金选"</f>
        <v>吴金选</v>
      </c>
      <c r="E565" s="5" t="str">
        <f t="shared" si="61"/>
        <v>女</v>
      </c>
      <c r="F565" s="5" t="str">
        <f t="shared" si="64"/>
        <v>汉族</v>
      </c>
    </row>
    <row r="566" ht="30" customHeight="1" spans="1:6">
      <c r="A566" s="5">
        <v>564</v>
      </c>
      <c r="B566" s="5" t="str">
        <f>"36412022010915594795520"</f>
        <v>36412022010915594795520</v>
      </c>
      <c r="C566" s="5" t="s">
        <v>16</v>
      </c>
      <c r="D566" s="5" t="str">
        <f>"陈秀萍"</f>
        <v>陈秀萍</v>
      </c>
      <c r="E566" s="5" t="str">
        <f t="shared" si="61"/>
        <v>女</v>
      </c>
      <c r="F566" s="5" t="str">
        <f t="shared" si="64"/>
        <v>汉族</v>
      </c>
    </row>
    <row r="567" ht="30" customHeight="1" spans="1:6">
      <c r="A567" s="5">
        <v>565</v>
      </c>
      <c r="B567" s="5" t="str">
        <f>"36412022010916181495567"</f>
        <v>36412022010916181495567</v>
      </c>
      <c r="C567" s="5" t="s">
        <v>16</v>
      </c>
      <c r="D567" s="5" t="str">
        <f>"陈婉芬"</f>
        <v>陈婉芬</v>
      </c>
      <c r="E567" s="5" t="str">
        <f t="shared" si="61"/>
        <v>女</v>
      </c>
      <c r="F567" s="5" t="str">
        <f t="shared" si="64"/>
        <v>汉族</v>
      </c>
    </row>
    <row r="568" ht="30" customHeight="1" spans="1:6">
      <c r="A568" s="5">
        <v>566</v>
      </c>
      <c r="B568" s="5" t="str">
        <f>"36412022010919362695819"</f>
        <v>36412022010919362695819</v>
      </c>
      <c r="C568" s="5" t="s">
        <v>16</v>
      </c>
      <c r="D568" s="5" t="str">
        <f>"钟燕含"</f>
        <v>钟燕含</v>
      </c>
      <c r="E568" s="5" t="str">
        <f t="shared" si="61"/>
        <v>女</v>
      </c>
      <c r="F568" s="5" t="str">
        <f t="shared" si="64"/>
        <v>汉族</v>
      </c>
    </row>
    <row r="569" ht="30" customHeight="1" spans="1:6">
      <c r="A569" s="5">
        <v>567</v>
      </c>
      <c r="B569" s="5" t="str">
        <f>"36412022010921062695980"</f>
        <v>36412022010921062695980</v>
      </c>
      <c r="C569" s="5" t="s">
        <v>16</v>
      </c>
      <c r="D569" s="5" t="str">
        <f>"方莹"</f>
        <v>方莹</v>
      </c>
      <c r="E569" s="5" t="str">
        <f t="shared" si="61"/>
        <v>女</v>
      </c>
      <c r="F569" s="5" t="str">
        <f t="shared" si="64"/>
        <v>汉族</v>
      </c>
    </row>
    <row r="570" ht="30" customHeight="1" spans="1:6">
      <c r="A570" s="5">
        <v>568</v>
      </c>
      <c r="B570" s="5" t="str">
        <f>"36412022011000365196277"</f>
        <v>36412022011000365196277</v>
      </c>
      <c r="C570" s="5" t="s">
        <v>16</v>
      </c>
      <c r="D570" s="5" t="str">
        <f>"林招运"</f>
        <v>林招运</v>
      </c>
      <c r="E570" s="5" t="str">
        <f>"男"</f>
        <v>男</v>
      </c>
      <c r="F570" s="5" t="str">
        <f>"黎族"</f>
        <v>黎族</v>
      </c>
    </row>
    <row r="571" ht="30" customHeight="1" spans="1:6">
      <c r="A571" s="5">
        <v>569</v>
      </c>
      <c r="B571" s="5" t="str">
        <f>"36412022011000535896285"</f>
        <v>36412022011000535896285</v>
      </c>
      <c r="C571" s="5" t="s">
        <v>16</v>
      </c>
      <c r="D571" s="5" t="str">
        <f>"兰田靖"</f>
        <v>兰田靖</v>
      </c>
      <c r="E571" s="5" t="str">
        <f>"女"</f>
        <v>女</v>
      </c>
      <c r="F571" s="5" t="str">
        <f>"黎族"</f>
        <v>黎族</v>
      </c>
    </row>
    <row r="572" ht="30" customHeight="1" spans="1:6">
      <c r="A572" s="5">
        <v>570</v>
      </c>
      <c r="B572" s="5" t="str">
        <f>"36412022011007593896331"</f>
        <v>36412022011007593896331</v>
      </c>
      <c r="C572" s="5" t="s">
        <v>16</v>
      </c>
      <c r="D572" s="5" t="str">
        <f>"范舒宁"</f>
        <v>范舒宁</v>
      </c>
      <c r="E572" s="5" t="str">
        <f>"女"</f>
        <v>女</v>
      </c>
      <c r="F572" s="5" t="str">
        <f>"汉族"</f>
        <v>汉族</v>
      </c>
    </row>
    <row r="573" ht="30" customHeight="1" spans="1:6">
      <c r="A573" s="5">
        <v>571</v>
      </c>
      <c r="B573" s="5" t="str">
        <f>"36412022011008574696401"</f>
        <v>36412022011008574696401</v>
      </c>
      <c r="C573" s="5" t="s">
        <v>16</v>
      </c>
      <c r="D573" s="5" t="str">
        <f>"周诗贤"</f>
        <v>周诗贤</v>
      </c>
      <c r="E573" s="5" t="str">
        <f>"男"</f>
        <v>男</v>
      </c>
      <c r="F573" s="5" t="str">
        <f>"黎族"</f>
        <v>黎族</v>
      </c>
    </row>
    <row r="574" ht="30" customHeight="1" spans="1:6">
      <c r="A574" s="5">
        <v>572</v>
      </c>
      <c r="B574" s="5" t="str">
        <f>"36412022011009181996458"</f>
        <v>36412022011009181996458</v>
      </c>
      <c r="C574" s="5" t="s">
        <v>16</v>
      </c>
      <c r="D574" s="5" t="str">
        <f>"符俊环"</f>
        <v>符俊环</v>
      </c>
      <c r="E574" s="5" t="str">
        <f t="shared" ref="E574:E598" si="65">"女"</f>
        <v>女</v>
      </c>
      <c r="F574" s="5" t="str">
        <f>"汉族"</f>
        <v>汉族</v>
      </c>
    </row>
    <row r="575" ht="30" customHeight="1" spans="1:6">
      <c r="A575" s="5">
        <v>573</v>
      </c>
      <c r="B575" s="5" t="str">
        <f>"36412022011010063396614"</f>
        <v>36412022011010063396614</v>
      </c>
      <c r="C575" s="5" t="s">
        <v>16</v>
      </c>
      <c r="D575" s="5" t="str">
        <f>"文真真"</f>
        <v>文真真</v>
      </c>
      <c r="E575" s="5" t="str">
        <f t="shared" si="65"/>
        <v>女</v>
      </c>
      <c r="F575" s="5" t="str">
        <f>"黎族"</f>
        <v>黎族</v>
      </c>
    </row>
    <row r="576" ht="30" customHeight="1" spans="1:6">
      <c r="A576" s="5">
        <v>574</v>
      </c>
      <c r="B576" s="5" t="str">
        <f>"36412022010320284476400"</f>
        <v>36412022010320284476400</v>
      </c>
      <c r="C576" s="5" t="s">
        <v>17</v>
      </c>
      <c r="D576" s="5" t="str">
        <f>"金靓"</f>
        <v>金靓</v>
      </c>
      <c r="E576" s="5" t="str">
        <f t="shared" si="65"/>
        <v>女</v>
      </c>
      <c r="F576" s="5" t="str">
        <f>"满族"</f>
        <v>满族</v>
      </c>
    </row>
    <row r="577" ht="30" customHeight="1" spans="1:6">
      <c r="A577" s="5">
        <v>575</v>
      </c>
      <c r="B577" s="5" t="str">
        <f>"36412022010410221178107"</f>
        <v>36412022010410221178107</v>
      </c>
      <c r="C577" s="5" t="s">
        <v>17</v>
      </c>
      <c r="D577" s="5" t="str">
        <f>"王爱霞"</f>
        <v>王爱霞</v>
      </c>
      <c r="E577" s="5" t="str">
        <f t="shared" si="65"/>
        <v>女</v>
      </c>
      <c r="F577" s="5" t="str">
        <f t="shared" ref="F577:F583" si="66">"汉族"</f>
        <v>汉族</v>
      </c>
    </row>
    <row r="578" ht="30" customHeight="1" spans="1:6">
      <c r="A578" s="5">
        <v>576</v>
      </c>
      <c r="B578" s="5" t="str">
        <f>"36412022010421284581717"</f>
        <v>36412022010421284581717</v>
      </c>
      <c r="C578" s="5" t="s">
        <v>17</v>
      </c>
      <c r="D578" s="5" t="str">
        <f>"郑春花"</f>
        <v>郑春花</v>
      </c>
      <c r="E578" s="5" t="str">
        <f t="shared" si="65"/>
        <v>女</v>
      </c>
      <c r="F578" s="5" t="str">
        <f t="shared" si="66"/>
        <v>汉族</v>
      </c>
    </row>
    <row r="579" ht="30" customHeight="1" spans="1:6">
      <c r="A579" s="5">
        <v>577</v>
      </c>
      <c r="B579" s="5" t="str">
        <f>"36412022010823402894495"</f>
        <v>36412022010823402894495</v>
      </c>
      <c r="C579" s="5" t="s">
        <v>17</v>
      </c>
      <c r="D579" s="5" t="str">
        <f>"刘洁"</f>
        <v>刘洁</v>
      </c>
      <c r="E579" s="5" t="str">
        <f t="shared" si="65"/>
        <v>女</v>
      </c>
      <c r="F579" s="5" t="str">
        <f t="shared" si="66"/>
        <v>汉族</v>
      </c>
    </row>
    <row r="580" ht="30" customHeight="1" spans="1:6">
      <c r="A580" s="5">
        <v>578</v>
      </c>
      <c r="B580" s="5" t="str">
        <f>"36412022011009451996536"</f>
        <v>36412022011009451996536</v>
      </c>
      <c r="C580" s="5" t="s">
        <v>17</v>
      </c>
      <c r="D580" s="5" t="str">
        <f>"邢高雅"</f>
        <v>邢高雅</v>
      </c>
      <c r="E580" s="5" t="str">
        <f t="shared" si="65"/>
        <v>女</v>
      </c>
      <c r="F580" s="5" t="str">
        <f t="shared" si="66"/>
        <v>汉族</v>
      </c>
    </row>
    <row r="581" ht="30" customHeight="1" spans="1:6">
      <c r="A581" s="5">
        <v>579</v>
      </c>
      <c r="B581" s="5" t="str">
        <f>"36412021123109455469838"</f>
        <v>36412021123109455469838</v>
      </c>
      <c r="C581" s="5" t="s">
        <v>18</v>
      </c>
      <c r="D581" s="5" t="str">
        <f>"张祯虹"</f>
        <v>张祯虹</v>
      </c>
      <c r="E581" s="5" t="str">
        <f t="shared" si="65"/>
        <v>女</v>
      </c>
      <c r="F581" s="5" t="str">
        <f t="shared" si="66"/>
        <v>汉族</v>
      </c>
    </row>
    <row r="582" ht="30" customHeight="1" spans="1:6">
      <c r="A582" s="5">
        <v>580</v>
      </c>
      <c r="B582" s="5" t="str">
        <f>"36412021123110374970088"</f>
        <v>36412021123110374970088</v>
      </c>
      <c r="C582" s="5" t="s">
        <v>18</v>
      </c>
      <c r="D582" s="5" t="str">
        <f>"符会蕊"</f>
        <v>符会蕊</v>
      </c>
      <c r="E582" s="5" t="str">
        <f t="shared" si="65"/>
        <v>女</v>
      </c>
      <c r="F582" s="5" t="str">
        <f t="shared" si="66"/>
        <v>汉族</v>
      </c>
    </row>
    <row r="583" ht="30" customHeight="1" spans="1:6">
      <c r="A583" s="5">
        <v>581</v>
      </c>
      <c r="B583" s="5" t="str">
        <f>"36412021123117473571157"</f>
        <v>36412021123117473571157</v>
      </c>
      <c r="C583" s="5" t="s">
        <v>18</v>
      </c>
      <c r="D583" s="5" t="str">
        <f>"符海玲"</f>
        <v>符海玲</v>
      </c>
      <c r="E583" s="5" t="str">
        <f t="shared" si="65"/>
        <v>女</v>
      </c>
      <c r="F583" s="5" t="str">
        <f t="shared" si="66"/>
        <v>汉族</v>
      </c>
    </row>
    <row r="584" ht="30" customHeight="1" spans="1:6">
      <c r="A584" s="5">
        <v>582</v>
      </c>
      <c r="B584" s="5" t="str">
        <f>"36412021123118460571202"</f>
        <v>36412021123118460571202</v>
      </c>
      <c r="C584" s="5" t="s">
        <v>18</v>
      </c>
      <c r="D584" s="5" t="str">
        <f>"杜海芬"</f>
        <v>杜海芬</v>
      </c>
      <c r="E584" s="5" t="str">
        <f t="shared" si="65"/>
        <v>女</v>
      </c>
      <c r="F584" s="5" t="str">
        <f>"黎族"</f>
        <v>黎族</v>
      </c>
    </row>
    <row r="585" ht="30" customHeight="1" spans="1:6">
      <c r="A585" s="5">
        <v>583</v>
      </c>
      <c r="B585" s="5" t="str">
        <f>"36412021123119170171224"</f>
        <v>36412021123119170171224</v>
      </c>
      <c r="C585" s="5" t="s">
        <v>18</v>
      </c>
      <c r="D585" s="5" t="str">
        <f>"冯大娇"</f>
        <v>冯大娇</v>
      </c>
      <c r="E585" s="5" t="str">
        <f t="shared" si="65"/>
        <v>女</v>
      </c>
      <c r="F585" s="5" t="str">
        <f>"汉族"</f>
        <v>汉族</v>
      </c>
    </row>
    <row r="586" ht="30" customHeight="1" spans="1:6">
      <c r="A586" s="5">
        <v>584</v>
      </c>
      <c r="B586" s="5" t="str">
        <f>"36412021123120452971290"</f>
        <v>36412021123120452971290</v>
      </c>
      <c r="C586" s="5" t="s">
        <v>18</v>
      </c>
      <c r="D586" s="5" t="str">
        <f>"陈少平"</f>
        <v>陈少平</v>
      </c>
      <c r="E586" s="5" t="str">
        <f t="shared" si="65"/>
        <v>女</v>
      </c>
      <c r="F586" s="5" t="str">
        <f>"汉族"</f>
        <v>汉族</v>
      </c>
    </row>
    <row r="587" ht="30" customHeight="1" spans="1:6">
      <c r="A587" s="5">
        <v>585</v>
      </c>
      <c r="B587" s="5" t="str">
        <f>"36412022010110073571535"</f>
        <v>36412022010110073571535</v>
      </c>
      <c r="C587" s="5" t="s">
        <v>18</v>
      </c>
      <c r="D587" s="5" t="str">
        <f>"黄舒婷"</f>
        <v>黄舒婷</v>
      </c>
      <c r="E587" s="5" t="str">
        <f t="shared" si="65"/>
        <v>女</v>
      </c>
      <c r="F587" s="5" t="str">
        <f>"汉族"</f>
        <v>汉族</v>
      </c>
    </row>
    <row r="588" ht="30" customHeight="1" spans="1:6">
      <c r="A588" s="5">
        <v>586</v>
      </c>
      <c r="B588" s="5" t="str">
        <f>"36412022010112504771738"</f>
        <v>36412022010112504771738</v>
      </c>
      <c r="C588" s="5" t="s">
        <v>18</v>
      </c>
      <c r="D588" s="5" t="str">
        <f>"董朝咪"</f>
        <v>董朝咪</v>
      </c>
      <c r="E588" s="5" t="str">
        <f t="shared" si="65"/>
        <v>女</v>
      </c>
      <c r="F588" s="5" t="str">
        <f>"黎族"</f>
        <v>黎族</v>
      </c>
    </row>
    <row r="589" ht="30" customHeight="1" spans="1:6">
      <c r="A589" s="5">
        <v>587</v>
      </c>
      <c r="B589" s="5" t="str">
        <f>"36412022010122230972314"</f>
        <v>36412022010122230972314</v>
      </c>
      <c r="C589" s="5" t="s">
        <v>18</v>
      </c>
      <c r="D589" s="5" t="str">
        <f>"石冬梅"</f>
        <v>石冬梅</v>
      </c>
      <c r="E589" s="5" t="str">
        <f t="shared" si="65"/>
        <v>女</v>
      </c>
      <c r="F589" s="5" t="str">
        <f t="shared" ref="F589:F595" si="67">"汉族"</f>
        <v>汉族</v>
      </c>
    </row>
    <row r="590" ht="30" customHeight="1" spans="1:6">
      <c r="A590" s="5">
        <v>588</v>
      </c>
      <c r="B590" s="5" t="str">
        <f>"36412022010210380472554"</f>
        <v>36412022010210380472554</v>
      </c>
      <c r="C590" s="5" t="s">
        <v>18</v>
      </c>
      <c r="D590" s="5" t="str">
        <f>"文小静"</f>
        <v>文小静</v>
      </c>
      <c r="E590" s="5" t="str">
        <f t="shared" si="65"/>
        <v>女</v>
      </c>
      <c r="F590" s="5" t="str">
        <f t="shared" si="67"/>
        <v>汉族</v>
      </c>
    </row>
    <row r="591" ht="30" customHeight="1" spans="1:6">
      <c r="A591" s="5">
        <v>589</v>
      </c>
      <c r="B591" s="5" t="str">
        <f>"36412022010211454272658"</f>
        <v>36412022010211454272658</v>
      </c>
      <c r="C591" s="5" t="s">
        <v>18</v>
      </c>
      <c r="D591" s="5" t="str">
        <f>"林梅"</f>
        <v>林梅</v>
      </c>
      <c r="E591" s="5" t="str">
        <f t="shared" si="65"/>
        <v>女</v>
      </c>
      <c r="F591" s="5" t="str">
        <f t="shared" si="67"/>
        <v>汉族</v>
      </c>
    </row>
    <row r="592" ht="30" customHeight="1" spans="1:6">
      <c r="A592" s="5">
        <v>590</v>
      </c>
      <c r="B592" s="5" t="str">
        <f>"36412022010215095472908"</f>
        <v>36412022010215095472908</v>
      </c>
      <c r="C592" s="5" t="s">
        <v>18</v>
      </c>
      <c r="D592" s="5" t="str">
        <f>"符秀凤"</f>
        <v>符秀凤</v>
      </c>
      <c r="E592" s="5" t="str">
        <f t="shared" si="65"/>
        <v>女</v>
      </c>
      <c r="F592" s="5" t="str">
        <f t="shared" si="67"/>
        <v>汉族</v>
      </c>
    </row>
    <row r="593" ht="30" customHeight="1" spans="1:6">
      <c r="A593" s="5">
        <v>591</v>
      </c>
      <c r="B593" s="5" t="str">
        <f>"36412022010320124676353"</f>
        <v>36412022010320124676353</v>
      </c>
      <c r="C593" s="5" t="s">
        <v>18</v>
      </c>
      <c r="D593" s="5" t="str">
        <f>"程琳"</f>
        <v>程琳</v>
      </c>
      <c r="E593" s="5" t="str">
        <f t="shared" si="65"/>
        <v>女</v>
      </c>
      <c r="F593" s="5" t="str">
        <f t="shared" si="67"/>
        <v>汉族</v>
      </c>
    </row>
    <row r="594" ht="30" customHeight="1" spans="1:6">
      <c r="A594" s="5">
        <v>592</v>
      </c>
      <c r="B594" s="5" t="str">
        <f>"36412022010408321177207"</f>
        <v>36412022010408321177207</v>
      </c>
      <c r="C594" s="5" t="s">
        <v>18</v>
      </c>
      <c r="D594" s="5" t="str">
        <f>"黎菊女"</f>
        <v>黎菊女</v>
      </c>
      <c r="E594" s="5" t="str">
        <f t="shared" si="65"/>
        <v>女</v>
      </c>
      <c r="F594" s="5" t="str">
        <f t="shared" si="67"/>
        <v>汉族</v>
      </c>
    </row>
    <row r="595" ht="30" customHeight="1" spans="1:6">
      <c r="A595" s="5">
        <v>593</v>
      </c>
      <c r="B595" s="5" t="str">
        <f>"36412022010409441177753"</f>
        <v>36412022010409441177753</v>
      </c>
      <c r="C595" s="5" t="s">
        <v>18</v>
      </c>
      <c r="D595" s="5" t="str">
        <f>"吴初交"</f>
        <v>吴初交</v>
      </c>
      <c r="E595" s="5" t="str">
        <f t="shared" si="65"/>
        <v>女</v>
      </c>
      <c r="F595" s="5" t="str">
        <f t="shared" si="67"/>
        <v>汉族</v>
      </c>
    </row>
    <row r="596" ht="30" customHeight="1" spans="1:6">
      <c r="A596" s="5">
        <v>594</v>
      </c>
      <c r="B596" s="5" t="str">
        <f>"36412022010412165678961"</f>
        <v>36412022010412165678961</v>
      </c>
      <c r="C596" s="5" t="s">
        <v>18</v>
      </c>
      <c r="D596" s="5" t="str">
        <f>"马佳雯"</f>
        <v>马佳雯</v>
      </c>
      <c r="E596" s="5" t="str">
        <f t="shared" si="65"/>
        <v>女</v>
      </c>
      <c r="F596" s="5" t="str">
        <f>"回族"</f>
        <v>回族</v>
      </c>
    </row>
    <row r="597" ht="30" customHeight="1" spans="1:6">
      <c r="A597" s="5">
        <v>595</v>
      </c>
      <c r="B597" s="5" t="str">
        <f>"36412022010423245782134"</f>
        <v>36412022010423245782134</v>
      </c>
      <c r="C597" s="5" t="s">
        <v>18</v>
      </c>
      <c r="D597" s="5" t="str">
        <f>"李春儒"</f>
        <v>李春儒</v>
      </c>
      <c r="E597" s="5" t="str">
        <f t="shared" si="65"/>
        <v>女</v>
      </c>
      <c r="F597" s="5" t="str">
        <f>"汉族"</f>
        <v>汉族</v>
      </c>
    </row>
    <row r="598" ht="30" customHeight="1" spans="1:6">
      <c r="A598" s="5">
        <v>596</v>
      </c>
      <c r="B598" s="5" t="str">
        <f>"36412022010519513785766"</f>
        <v>36412022010519513785766</v>
      </c>
      <c r="C598" s="5" t="s">
        <v>18</v>
      </c>
      <c r="D598" s="5" t="str">
        <f>"蔡石翠"</f>
        <v>蔡石翠</v>
      </c>
      <c r="E598" s="5" t="str">
        <f t="shared" si="65"/>
        <v>女</v>
      </c>
      <c r="F598" s="5" t="str">
        <f>"汉族"</f>
        <v>汉族</v>
      </c>
    </row>
    <row r="599" ht="30" customHeight="1" spans="1:6">
      <c r="A599" s="5">
        <v>597</v>
      </c>
      <c r="B599" s="5" t="str">
        <f>"36412022010520040985829"</f>
        <v>36412022010520040985829</v>
      </c>
      <c r="C599" s="5" t="s">
        <v>18</v>
      </c>
      <c r="D599" s="5" t="str">
        <f>"符玉琼"</f>
        <v>符玉琼</v>
      </c>
      <c r="E599" s="5" t="str">
        <f>"男"</f>
        <v>男</v>
      </c>
      <c r="F599" s="5" t="str">
        <f>"汉族"</f>
        <v>汉族</v>
      </c>
    </row>
    <row r="600" ht="30" customHeight="1" spans="1:6">
      <c r="A600" s="5">
        <v>598</v>
      </c>
      <c r="B600" s="5" t="str">
        <f>"36412022010520372685973"</f>
        <v>36412022010520372685973</v>
      </c>
      <c r="C600" s="5" t="s">
        <v>18</v>
      </c>
      <c r="D600" s="5" t="str">
        <f>"李秀艾"</f>
        <v>李秀艾</v>
      </c>
      <c r="E600" s="5" t="str">
        <f t="shared" ref="E600:E629" si="68">"女"</f>
        <v>女</v>
      </c>
      <c r="F600" s="5" t="str">
        <f>"汉族"</f>
        <v>汉族</v>
      </c>
    </row>
    <row r="601" ht="30" customHeight="1" spans="1:6">
      <c r="A601" s="5">
        <v>599</v>
      </c>
      <c r="B601" s="5" t="str">
        <f>"36412022010522255986474"</f>
        <v>36412022010522255986474</v>
      </c>
      <c r="C601" s="5" t="s">
        <v>18</v>
      </c>
      <c r="D601" s="5" t="str">
        <f>"符世谢"</f>
        <v>符世谢</v>
      </c>
      <c r="E601" s="5" t="str">
        <f t="shared" si="68"/>
        <v>女</v>
      </c>
      <c r="F601" s="5" t="str">
        <f>"黎族"</f>
        <v>黎族</v>
      </c>
    </row>
    <row r="602" ht="30" customHeight="1" spans="1:6">
      <c r="A602" s="5">
        <v>600</v>
      </c>
      <c r="B602" s="5" t="str">
        <f>"36412022010617374389167"</f>
        <v>36412022010617374389167</v>
      </c>
      <c r="C602" s="5" t="s">
        <v>18</v>
      </c>
      <c r="D602" s="5" t="str">
        <f>"林舒羽"</f>
        <v>林舒羽</v>
      </c>
      <c r="E602" s="5" t="str">
        <f t="shared" si="68"/>
        <v>女</v>
      </c>
      <c r="F602" s="5" t="str">
        <f>"汉族"</f>
        <v>汉族</v>
      </c>
    </row>
    <row r="603" ht="30" customHeight="1" spans="1:6">
      <c r="A603" s="5">
        <v>601</v>
      </c>
      <c r="B603" s="5" t="str">
        <f>"36412022010709285390669"</f>
        <v>36412022010709285390669</v>
      </c>
      <c r="C603" s="5" t="s">
        <v>18</v>
      </c>
      <c r="D603" s="5" t="str">
        <f>"符丽悦"</f>
        <v>符丽悦</v>
      </c>
      <c r="E603" s="5" t="str">
        <f t="shared" si="68"/>
        <v>女</v>
      </c>
      <c r="F603" s="5" t="str">
        <f>"黎族"</f>
        <v>黎族</v>
      </c>
    </row>
    <row r="604" ht="30" customHeight="1" spans="1:6">
      <c r="A604" s="5">
        <v>602</v>
      </c>
      <c r="B604" s="5" t="str">
        <f>"36412022010911011594861"</f>
        <v>36412022010911011594861</v>
      </c>
      <c r="C604" s="5" t="s">
        <v>18</v>
      </c>
      <c r="D604" s="5" t="str">
        <f>"李敏"</f>
        <v>李敏</v>
      </c>
      <c r="E604" s="5" t="str">
        <f t="shared" si="68"/>
        <v>女</v>
      </c>
      <c r="F604" s="5" t="str">
        <f>"汉族"</f>
        <v>汉族</v>
      </c>
    </row>
    <row r="605" ht="30" customHeight="1" spans="1:6">
      <c r="A605" s="5">
        <v>603</v>
      </c>
      <c r="B605" s="5" t="str">
        <f>"36412022010911174794903"</f>
        <v>36412022010911174794903</v>
      </c>
      <c r="C605" s="5" t="s">
        <v>18</v>
      </c>
      <c r="D605" s="5" t="str">
        <f>"刘咪雪"</f>
        <v>刘咪雪</v>
      </c>
      <c r="E605" s="5" t="str">
        <f t="shared" si="68"/>
        <v>女</v>
      </c>
      <c r="F605" s="5" t="str">
        <f>"汉族"</f>
        <v>汉族</v>
      </c>
    </row>
    <row r="606" ht="30" customHeight="1" spans="1:6">
      <c r="A606" s="5">
        <v>604</v>
      </c>
      <c r="B606" s="5" t="str">
        <f>"36412022010920314795915"</f>
        <v>36412022010920314795915</v>
      </c>
      <c r="C606" s="5" t="s">
        <v>18</v>
      </c>
      <c r="D606" s="5" t="str">
        <f>"钟秀珍"</f>
        <v>钟秀珍</v>
      </c>
      <c r="E606" s="5" t="str">
        <f t="shared" si="68"/>
        <v>女</v>
      </c>
      <c r="F606" s="5" t="str">
        <f>"黎族"</f>
        <v>黎族</v>
      </c>
    </row>
    <row r="607" ht="30" customHeight="1" spans="1:6">
      <c r="A607" s="5">
        <v>605</v>
      </c>
      <c r="B607" s="5" t="str">
        <f>"36412022010921035895974"</f>
        <v>36412022010921035895974</v>
      </c>
      <c r="C607" s="5" t="s">
        <v>18</v>
      </c>
      <c r="D607" s="5" t="str">
        <f>"杨柳"</f>
        <v>杨柳</v>
      </c>
      <c r="E607" s="5" t="str">
        <f t="shared" si="68"/>
        <v>女</v>
      </c>
      <c r="F607" s="5" t="str">
        <f t="shared" ref="F607:F613" si="69">"汉族"</f>
        <v>汉族</v>
      </c>
    </row>
    <row r="608" ht="30" customHeight="1" spans="1:6">
      <c r="A608" s="5">
        <v>606</v>
      </c>
      <c r="B608" s="5" t="str">
        <f>"36412022010922064896099"</f>
        <v>36412022010922064896099</v>
      </c>
      <c r="C608" s="5" t="s">
        <v>18</v>
      </c>
      <c r="D608" s="5" t="str">
        <f>"郑萍"</f>
        <v>郑萍</v>
      </c>
      <c r="E608" s="5" t="str">
        <f t="shared" si="68"/>
        <v>女</v>
      </c>
      <c r="F608" s="5" t="str">
        <f t="shared" si="69"/>
        <v>汉族</v>
      </c>
    </row>
    <row r="609" ht="30" customHeight="1" spans="1:6">
      <c r="A609" s="5">
        <v>607</v>
      </c>
      <c r="B609" s="5" t="str">
        <f>"36412022011009005696407"</f>
        <v>36412022011009005696407</v>
      </c>
      <c r="C609" s="5" t="s">
        <v>18</v>
      </c>
      <c r="D609" s="5" t="str">
        <f>"陈裕娴"</f>
        <v>陈裕娴</v>
      </c>
      <c r="E609" s="5" t="str">
        <f t="shared" si="68"/>
        <v>女</v>
      </c>
      <c r="F609" s="5" t="str">
        <f t="shared" si="69"/>
        <v>汉族</v>
      </c>
    </row>
    <row r="610" ht="30" customHeight="1" spans="1:6">
      <c r="A610" s="5">
        <v>608</v>
      </c>
      <c r="B610" s="5" t="str">
        <f>"36412021123112411170488"</f>
        <v>36412021123112411170488</v>
      </c>
      <c r="C610" s="5" t="s">
        <v>19</v>
      </c>
      <c r="D610" s="5" t="str">
        <f>"吕秋妹"</f>
        <v>吕秋妹</v>
      </c>
      <c r="E610" s="5" t="str">
        <f t="shared" si="68"/>
        <v>女</v>
      </c>
      <c r="F610" s="5" t="str">
        <f t="shared" si="69"/>
        <v>汉族</v>
      </c>
    </row>
    <row r="611" ht="30" customHeight="1" spans="1:6">
      <c r="A611" s="5">
        <v>609</v>
      </c>
      <c r="B611" s="5" t="str">
        <f>"36412021123112555570522"</f>
        <v>36412021123112555570522</v>
      </c>
      <c r="C611" s="5" t="s">
        <v>19</v>
      </c>
      <c r="D611" s="5" t="str">
        <f>"朱娟葵"</f>
        <v>朱娟葵</v>
      </c>
      <c r="E611" s="5" t="str">
        <f t="shared" si="68"/>
        <v>女</v>
      </c>
      <c r="F611" s="5" t="str">
        <f t="shared" si="69"/>
        <v>汉族</v>
      </c>
    </row>
    <row r="612" ht="30" customHeight="1" spans="1:6">
      <c r="A612" s="5">
        <v>610</v>
      </c>
      <c r="B612" s="5" t="str">
        <f>"36412021123114504470795"</f>
        <v>36412021123114504470795</v>
      </c>
      <c r="C612" s="5" t="s">
        <v>19</v>
      </c>
      <c r="D612" s="5" t="str">
        <f>"符桥"</f>
        <v>符桥</v>
      </c>
      <c r="E612" s="5" t="str">
        <f t="shared" si="68"/>
        <v>女</v>
      </c>
      <c r="F612" s="5" t="str">
        <f t="shared" si="69"/>
        <v>汉族</v>
      </c>
    </row>
    <row r="613" ht="30" customHeight="1" spans="1:6">
      <c r="A613" s="5">
        <v>611</v>
      </c>
      <c r="B613" s="5" t="str">
        <f>"36412021123122293071365"</f>
        <v>36412021123122293071365</v>
      </c>
      <c r="C613" s="5" t="s">
        <v>19</v>
      </c>
      <c r="D613" s="5" t="str">
        <f>"吴清惠"</f>
        <v>吴清惠</v>
      </c>
      <c r="E613" s="5" t="str">
        <f t="shared" si="68"/>
        <v>女</v>
      </c>
      <c r="F613" s="5" t="str">
        <f t="shared" si="69"/>
        <v>汉族</v>
      </c>
    </row>
    <row r="614" ht="30" customHeight="1" spans="1:6">
      <c r="A614" s="5">
        <v>612</v>
      </c>
      <c r="B614" s="5" t="str">
        <f>"36412021123122575671377"</f>
        <v>36412021123122575671377</v>
      </c>
      <c r="C614" s="5" t="s">
        <v>19</v>
      </c>
      <c r="D614" s="5" t="str">
        <f>"王茹倩"</f>
        <v>王茹倩</v>
      </c>
      <c r="E614" s="5" t="str">
        <f t="shared" si="68"/>
        <v>女</v>
      </c>
      <c r="F614" s="5" t="str">
        <f>"黎族"</f>
        <v>黎族</v>
      </c>
    </row>
    <row r="615" ht="30" customHeight="1" spans="1:6">
      <c r="A615" s="5">
        <v>613</v>
      </c>
      <c r="B615" s="5" t="str">
        <f>"36412022010112155171698"</f>
        <v>36412022010112155171698</v>
      </c>
      <c r="C615" s="5" t="s">
        <v>19</v>
      </c>
      <c r="D615" s="5" t="str">
        <f>"曾永秀"</f>
        <v>曾永秀</v>
      </c>
      <c r="E615" s="5" t="str">
        <f t="shared" si="68"/>
        <v>女</v>
      </c>
      <c r="F615" s="5" t="str">
        <f t="shared" ref="F615:F629" si="70">"汉族"</f>
        <v>汉族</v>
      </c>
    </row>
    <row r="616" ht="30" customHeight="1" spans="1:6">
      <c r="A616" s="5">
        <v>614</v>
      </c>
      <c r="B616" s="5" t="str">
        <f>"36412022010120252772184"</f>
        <v>36412022010120252772184</v>
      </c>
      <c r="C616" s="5" t="s">
        <v>19</v>
      </c>
      <c r="D616" s="5" t="str">
        <f>"王玲"</f>
        <v>王玲</v>
      </c>
      <c r="E616" s="5" t="str">
        <f t="shared" si="68"/>
        <v>女</v>
      </c>
      <c r="F616" s="5" t="str">
        <f t="shared" si="70"/>
        <v>汉族</v>
      </c>
    </row>
    <row r="617" ht="30" customHeight="1" spans="1:6">
      <c r="A617" s="5">
        <v>615</v>
      </c>
      <c r="B617" s="5" t="str">
        <f>"36412022010123113472355"</f>
        <v>36412022010123113472355</v>
      </c>
      <c r="C617" s="5" t="s">
        <v>19</v>
      </c>
      <c r="D617" s="5" t="str">
        <f>"郑晓莹"</f>
        <v>郑晓莹</v>
      </c>
      <c r="E617" s="5" t="str">
        <f t="shared" si="68"/>
        <v>女</v>
      </c>
      <c r="F617" s="5" t="str">
        <f t="shared" si="70"/>
        <v>汉族</v>
      </c>
    </row>
    <row r="618" ht="30" customHeight="1" spans="1:6">
      <c r="A618" s="5">
        <v>616</v>
      </c>
      <c r="B618" s="5" t="str">
        <f>"36412022010211261472626"</f>
        <v>36412022010211261472626</v>
      </c>
      <c r="C618" s="5" t="s">
        <v>19</v>
      </c>
      <c r="D618" s="5" t="str">
        <f>"王小玲"</f>
        <v>王小玲</v>
      </c>
      <c r="E618" s="5" t="str">
        <f t="shared" si="68"/>
        <v>女</v>
      </c>
      <c r="F618" s="5" t="str">
        <f t="shared" si="70"/>
        <v>汉族</v>
      </c>
    </row>
    <row r="619" ht="30" customHeight="1" spans="1:6">
      <c r="A619" s="5">
        <v>617</v>
      </c>
      <c r="B619" s="5" t="str">
        <f>"36412022010211280272630"</f>
        <v>36412022010211280272630</v>
      </c>
      <c r="C619" s="5" t="s">
        <v>19</v>
      </c>
      <c r="D619" s="5" t="str">
        <f>"王紫薇"</f>
        <v>王紫薇</v>
      </c>
      <c r="E619" s="5" t="str">
        <f t="shared" si="68"/>
        <v>女</v>
      </c>
      <c r="F619" s="5" t="str">
        <f t="shared" si="70"/>
        <v>汉族</v>
      </c>
    </row>
    <row r="620" ht="30" customHeight="1" spans="1:6">
      <c r="A620" s="5">
        <v>618</v>
      </c>
      <c r="B620" s="5" t="str">
        <f>"36412022010216253373003"</f>
        <v>36412022010216253373003</v>
      </c>
      <c r="C620" s="5" t="s">
        <v>19</v>
      </c>
      <c r="D620" s="5" t="str">
        <f>"羊美萍"</f>
        <v>羊美萍</v>
      </c>
      <c r="E620" s="5" t="str">
        <f t="shared" si="68"/>
        <v>女</v>
      </c>
      <c r="F620" s="5" t="str">
        <f t="shared" si="70"/>
        <v>汉族</v>
      </c>
    </row>
    <row r="621" ht="30" customHeight="1" spans="1:6">
      <c r="A621" s="5">
        <v>619</v>
      </c>
      <c r="B621" s="5" t="str">
        <f>"36412022010319055376122"</f>
        <v>36412022010319055376122</v>
      </c>
      <c r="C621" s="5" t="s">
        <v>19</v>
      </c>
      <c r="D621" s="5" t="str">
        <f>"盛萌"</f>
        <v>盛萌</v>
      </c>
      <c r="E621" s="5" t="str">
        <f t="shared" si="68"/>
        <v>女</v>
      </c>
      <c r="F621" s="5" t="str">
        <f t="shared" si="70"/>
        <v>汉族</v>
      </c>
    </row>
    <row r="622" ht="30" customHeight="1" spans="1:6">
      <c r="A622" s="5">
        <v>620</v>
      </c>
      <c r="B622" s="5" t="str">
        <f>"36412022010319290676197"</f>
        <v>36412022010319290676197</v>
      </c>
      <c r="C622" s="5" t="s">
        <v>19</v>
      </c>
      <c r="D622" s="5" t="str">
        <f>"何川喻"</f>
        <v>何川喻</v>
      </c>
      <c r="E622" s="5" t="str">
        <f t="shared" si="68"/>
        <v>女</v>
      </c>
      <c r="F622" s="5" t="str">
        <f t="shared" si="70"/>
        <v>汉族</v>
      </c>
    </row>
    <row r="623" ht="30" customHeight="1" spans="1:6">
      <c r="A623" s="5">
        <v>621</v>
      </c>
      <c r="B623" s="5" t="str">
        <f>"36412022010408514677331"</f>
        <v>36412022010408514677331</v>
      </c>
      <c r="C623" s="5" t="s">
        <v>19</v>
      </c>
      <c r="D623" s="5" t="str">
        <f>"徐日丹"</f>
        <v>徐日丹</v>
      </c>
      <c r="E623" s="5" t="str">
        <f t="shared" si="68"/>
        <v>女</v>
      </c>
      <c r="F623" s="5" t="str">
        <f t="shared" si="70"/>
        <v>汉族</v>
      </c>
    </row>
    <row r="624" ht="30" customHeight="1" spans="1:6">
      <c r="A624" s="5">
        <v>622</v>
      </c>
      <c r="B624" s="5" t="str">
        <f>"36412022010409154677518"</f>
        <v>36412022010409154677518</v>
      </c>
      <c r="C624" s="5" t="s">
        <v>19</v>
      </c>
      <c r="D624" s="5" t="str">
        <f>"彭春美"</f>
        <v>彭春美</v>
      </c>
      <c r="E624" s="5" t="str">
        <f t="shared" si="68"/>
        <v>女</v>
      </c>
      <c r="F624" s="5" t="str">
        <f t="shared" si="70"/>
        <v>汉族</v>
      </c>
    </row>
    <row r="625" ht="30" customHeight="1" spans="1:6">
      <c r="A625" s="5">
        <v>623</v>
      </c>
      <c r="B625" s="5" t="str">
        <f>"36412022010418434180904"</f>
        <v>36412022010418434180904</v>
      </c>
      <c r="C625" s="5" t="s">
        <v>19</v>
      </c>
      <c r="D625" s="5" t="str">
        <f>"郑昕"</f>
        <v>郑昕</v>
      </c>
      <c r="E625" s="5" t="str">
        <f t="shared" si="68"/>
        <v>女</v>
      </c>
      <c r="F625" s="5" t="str">
        <f t="shared" si="70"/>
        <v>汉族</v>
      </c>
    </row>
    <row r="626" ht="30" customHeight="1" spans="1:6">
      <c r="A626" s="5">
        <v>624</v>
      </c>
      <c r="B626" s="5" t="str">
        <f>"36412022010420234181390"</f>
        <v>36412022010420234181390</v>
      </c>
      <c r="C626" s="5" t="s">
        <v>19</v>
      </c>
      <c r="D626" s="5" t="str">
        <f>"崔芸英"</f>
        <v>崔芸英</v>
      </c>
      <c r="E626" s="5" t="str">
        <f t="shared" si="68"/>
        <v>女</v>
      </c>
      <c r="F626" s="5" t="str">
        <f t="shared" si="70"/>
        <v>汉族</v>
      </c>
    </row>
    <row r="627" ht="30" customHeight="1" spans="1:6">
      <c r="A627" s="5">
        <v>625</v>
      </c>
      <c r="B627" s="5" t="str">
        <f>"36412022010420465981504"</f>
        <v>36412022010420465981504</v>
      </c>
      <c r="C627" s="5" t="s">
        <v>19</v>
      </c>
      <c r="D627" s="5" t="str">
        <f>"羊淑芳"</f>
        <v>羊淑芳</v>
      </c>
      <c r="E627" s="5" t="str">
        <f t="shared" si="68"/>
        <v>女</v>
      </c>
      <c r="F627" s="5" t="str">
        <f t="shared" si="70"/>
        <v>汉族</v>
      </c>
    </row>
    <row r="628" ht="30" customHeight="1" spans="1:6">
      <c r="A628" s="5">
        <v>626</v>
      </c>
      <c r="B628" s="5" t="str">
        <f>"36412022010421350181746"</f>
        <v>36412022010421350181746</v>
      </c>
      <c r="C628" s="5" t="s">
        <v>19</v>
      </c>
      <c r="D628" s="5" t="str">
        <f>"莫艳春"</f>
        <v>莫艳春</v>
      </c>
      <c r="E628" s="5" t="str">
        <f t="shared" si="68"/>
        <v>女</v>
      </c>
      <c r="F628" s="5" t="str">
        <f t="shared" si="70"/>
        <v>汉族</v>
      </c>
    </row>
    <row r="629" ht="30" customHeight="1" spans="1:6">
      <c r="A629" s="5">
        <v>627</v>
      </c>
      <c r="B629" s="5" t="str">
        <f>"36412022010422324581970"</f>
        <v>36412022010422324581970</v>
      </c>
      <c r="C629" s="5" t="s">
        <v>19</v>
      </c>
      <c r="D629" s="5" t="str">
        <f>"陈淑比"</f>
        <v>陈淑比</v>
      </c>
      <c r="E629" s="5" t="str">
        <f t="shared" si="68"/>
        <v>女</v>
      </c>
      <c r="F629" s="5" t="str">
        <f t="shared" si="70"/>
        <v>汉族</v>
      </c>
    </row>
    <row r="630" ht="30" customHeight="1" spans="1:6">
      <c r="A630" s="5">
        <v>628</v>
      </c>
      <c r="B630" s="5" t="str">
        <f>"36412022010422450282013"</f>
        <v>36412022010422450282013</v>
      </c>
      <c r="C630" s="5" t="s">
        <v>19</v>
      </c>
      <c r="D630" s="5" t="str">
        <f>"包兵兵"</f>
        <v>包兵兵</v>
      </c>
      <c r="E630" s="5" t="str">
        <f>"男"</f>
        <v>男</v>
      </c>
      <c r="F630" s="5" t="str">
        <f>"黎族"</f>
        <v>黎族</v>
      </c>
    </row>
    <row r="631" ht="30" customHeight="1" spans="1:6">
      <c r="A631" s="5">
        <v>629</v>
      </c>
      <c r="B631" s="5" t="str">
        <f>"36412022010510440883149"</f>
        <v>36412022010510440883149</v>
      </c>
      <c r="C631" s="5" t="s">
        <v>19</v>
      </c>
      <c r="D631" s="5" t="str">
        <f>"李小儒"</f>
        <v>李小儒</v>
      </c>
      <c r="E631" s="5" t="str">
        <f>"女"</f>
        <v>女</v>
      </c>
      <c r="F631" s="5" t="str">
        <f>"汉族"</f>
        <v>汉族</v>
      </c>
    </row>
    <row r="632" ht="30" customHeight="1" spans="1:6">
      <c r="A632" s="5">
        <v>630</v>
      </c>
      <c r="B632" s="5" t="str">
        <f>"36412022010511121183358"</f>
        <v>36412022010511121183358</v>
      </c>
      <c r="C632" s="5" t="s">
        <v>19</v>
      </c>
      <c r="D632" s="5" t="str">
        <f>"高茂鸿 "</f>
        <v>高茂鸿 </v>
      </c>
      <c r="E632" s="5" t="str">
        <f>"男"</f>
        <v>男</v>
      </c>
      <c r="F632" s="5" t="str">
        <f>"黎族"</f>
        <v>黎族</v>
      </c>
    </row>
    <row r="633" ht="30" customHeight="1" spans="1:6">
      <c r="A633" s="5">
        <v>631</v>
      </c>
      <c r="B633" s="5" t="str">
        <f>"36412022010517201585193"</f>
        <v>36412022010517201585193</v>
      </c>
      <c r="C633" s="5" t="s">
        <v>19</v>
      </c>
      <c r="D633" s="5" t="str">
        <f>"资琳"</f>
        <v>资琳</v>
      </c>
      <c r="E633" s="5" t="str">
        <f>"女"</f>
        <v>女</v>
      </c>
      <c r="F633" s="5" t="str">
        <f>"汉族"</f>
        <v>汉族</v>
      </c>
    </row>
    <row r="634" ht="30" customHeight="1" spans="1:6">
      <c r="A634" s="5">
        <v>632</v>
      </c>
      <c r="B634" s="5" t="str">
        <f>"36412022010517364385260"</f>
        <v>36412022010517364385260</v>
      </c>
      <c r="C634" s="5" t="s">
        <v>19</v>
      </c>
      <c r="D634" s="5" t="str">
        <f>"董秀芬"</f>
        <v>董秀芬</v>
      </c>
      <c r="E634" s="5" t="str">
        <f>"女"</f>
        <v>女</v>
      </c>
      <c r="F634" s="5" t="str">
        <f>"黎族"</f>
        <v>黎族</v>
      </c>
    </row>
    <row r="635" ht="30" customHeight="1" spans="1:6">
      <c r="A635" s="5">
        <v>633</v>
      </c>
      <c r="B635" s="5" t="str">
        <f>"36412022010517470585304"</f>
        <v>36412022010517470585304</v>
      </c>
      <c r="C635" s="5" t="s">
        <v>19</v>
      </c>
      <c r="D635" s="5" t="str">
        <f>"李正达"</f>
        <v>李正达</v>
      </c>
      <c r="E635" s="5" t="str">
        <f>"男"</f>
        <v>男</v>
      </c>
      <c r="F635" s="5" t="str">
        <f t="shared" ref="F635:F644" si="71">"汉族"</f>
        <v>汉族</v>
      </c>
    </row>
    <row r="636" ht="30" customHeight="1" spans="1:6">
      <c r="A636" s="5">
        <v>634</v>
      </c>
      <c r="B636" s="5" t="str">
        <f>"36412022010623350390329"</f>
        <v>36412022010623350390329</v>
      </c>
      <c r="C636" s="5" t="s">
        <v>19</v>
      </c>
      <c r="D636" s="5" t="str">
        <f>"吴英妹"</f>
        <v>吴英妹</v>
      </c>
      <c r="E636" s="5" t="str">
        <f>"女"</f>
        <v>女</v>
      </c>
      <c r="F636" s="5" t="str">
        <f t="shared" si="71"/>
        <v>汉族</v>
      </c>
    </row>
    <row r="637" ht="30" customHeight="1" spans="1:6">
      <c r="A637" s="5">
        <v>635</v>
      </c>
      <c r="B637" s="5" t="str">
        <f>"36412022010714115191680"</f>
        <v>36412022010714115191680</v>
      </c>
      <c r="C637" s="5" t="s">
        <v>19</v>
      </c>
      <c r="D637" s="5" t="str">
        <f>"符小燕"</f>
        <v>符小燕</v>
      </c>
      <c r="E637" s="5" t="str">
        <f>"女"</f>
        <v>女</v>
      </c>
      <c r="F637" s="5" t="str">
        <f t="shared" si="71"/>
        <v>汉族</v>
      </c>
    </row>
    <row r="638" ht="30" customHeight="1" spans="1:6">
      <c r="A638" s="5">
        <v>636</v>
      </c>
      <c r="B638" s="5" t="str">
        <f>"36412022010715365592000"</f>
        <v>36412022010715365592000</v>
      </c>
      <c r="C638" s="5" t="s">
        <v>19</v>
      </c>
      <c r="D638" s="5" t="str">
        <f>"何文道"</f>
        <v>何文道</v>
      </c>
      <c r="E638" s="5" t="str">
        <f>"男"</f>
        <v>男</v>
      </c>
      <c r="F638" s="5" t="str">
        <f t="shared" si="71"/>
        <v>汉族</v>
      </c>
    </row>
    <row r="639" ht="30" customHeight="1" spans="1:6">
      <c r="A639" s="5">
        <v>637</v>
      </c>
      <c r="B639" s="5" t="str">
        <f>"36412022010910180794729"</f>
        <v>36412022010910180794729</v>
      </c>
      <c r="C639" s="5" t="s">
        <v>19</v>
      </c>
      <c r="D639" s="5" t="str">
        <f>"韦俊名"</f>
        <v>韦俊名</v>
      </c>
      <c r="E639" s="5" t="str">
        <f>"男"</f>
        <v>男</v>
      </c>
      <c r="F639" s="5" t="str">
        <f t="shared" si="71"/>
        <v>汉族</v>
      </c>
    </row>
    <row r="640" ht="30" customHeight="1" spans="1:6">
      <c r="A640" s="5">
        <v>638</v>
      </c>
      <c r="B640" s="5" t="str">
        <f>"36412022010921331396023"</f>
        <v>36412022010921331396023</v>
      </c>
      <c r="C640" s="5" t="s">
        <v>19</v>
      </c>
      <c r="D640" s="5" t="str">
        <f>"林灵"</f>
        <v>林灵</v>
      </c>
      <c r="E640" s="5" t="str">
        <f t="shared" ref="E640:E651" si="72">"女"</f>
        <v>女</v>
      </c>
      <c r="F640" s="5" t="str">
        <f t="shared" si="71"/>
        <v>汉族</v>
      </c>
    </row>
    <row r="641" ht="30" customHeight="1" spans="1:6">
      <c r="A641" s="5">
        <v>639</v>
      </c>
      <c r="B641" s="5" t="str">
        <f>"36412022011007533796327"</f>
        <v>36412022011007533796327</v>
      </c>
      <c r="C641" s="5" t="s">
        <v>19</v>
      </c>
      <c r="D641" s="5" t="str">
        <f>"温欣"</f>
        <v>温欣</v>
      </c>
      <c r="E641" s="5" t="str">
        <f t="shared" si="72"/>
        <v>女</v>
      </c>
      <c r="F641" s="5" t="str">
        <f t="shared" si="71"/>
        <v>汉族</v>
      </c>
    </row>
    <row r="642" ht="30" customHeight="1" spans="1:6">
      <c r="A642" s="5">
        <v>640</v>
      </c>
      <c r="B642" s="5" t="str">
        <f>"36412022011009123196439"</f>
        <v>36412022011009123196439</v>
      </c>
      <c r="C642" s="5" t="s">
        <v>19</v>
      </c>
      <c r="D642" s="5" t="str">
        <f>"刘兰兰"</f>
        <v>刘兰兰</v>
      </c>
      <c r="E642" s="5" t="str">
        <f t="shared" si="72"/>
        <v>女</v>
      </c>
      <c r="F642" s="5" t="str">
        <f t="shared" si="71"/>
        <v>汉族</v>
      </c>
    </row>
    <row r="643" ht="30" customHeight="1" spans="1:6">
      <c r="A643" s="5">
        <v>641</v>
      </c>
      <c r="B643" s="5" t="str">
        <f>"36412021123109443069831"</f>
        <v>36412021123109443069831</v>
      </c>
      <c r="C643" s="5" t="s">
        <v>20</v>
      </c>
      <c r="D643" s="5" t="str">
        <f>"罗家"</f>
        <v>罗家</v>
      </c>
      <c r="E643" s="5" t="str">
        <f t="shared" si="72"/>
        <v>女</v>
      </c>
      <c r="F643" s="5" t="str">
        <f t="shared" si="71"/>
        <v>汉族</v>
      </c>
    </row>
    <row r="644" ht="30" customHeight="1" spans="1:6">
      <c r="A644" s="5">
        <v>642</v>
      </c>
      <c r="B644" s="5" t="str">
        <f>"36412021123109511869852"</f>
        <v>36412021123109511869852</v>
      </c>
      <c r="C644" s="5" t="s">
        <v>20</v>
      </c>
      <c r="D644" s="5" t="str">
        <f>"刘显花"</f>
        <v>刘显花</v>
      </c>
      <c r="E644" s="5" t="str">
        <f t="shared" si="72"/>
        <v>女</v>
      </c>
      <c r="F644" s="5" t="str">
        <f t="shared" si="71"/>
        <v>汉族</v>
      </c>
    </row>
    <row r="645" ht="30" customHeight="1" spans="1:6">
      <c r="A645" s="5">
        <v>643</v>
      </c>
      <c r="B645" s="5" t="str">
        <f>"36412021123110011269905"</f>
        <v>36412021123110011269905</v>
      </c>
      <c r="C645" s="5" t="s">
        <v>20</v>
      </c>
      <c r="D645" s="5" t="str">
        <f>"陈秋萍"</f>
        <v>陈秋萍</v>
      </c>
      <c r="E645" s="5" t="str">
        <f t="shared" si="72"/>
        <v>女</v>
      </c>
      <c r="F645" s="5" t="str">
        <f>"黎族"</f>
        <v>黎族</v>
      </c>
    </row>
    <row r="646" ht="30" customHeight="1" spans="1:6">
      <c r="A646" s="5">
        <v>644</v>
      </c>
      <c r="B646" s="5" t="str">
        <f>"36412021123116155970995"</f>
        <v>36412021123116155970995</v>
      </c>
      <c r="C646" s="5" t="s">
        <v>20</v>
      </c>
      <c r="D646" s="5" t="str">
        <f>"柳雨霞"</f>
        <v>柳雨霞</v>
      </c>
      <c r="E646" s="5" t="str">
        <f t="shared" si="72"/>
        <v>女</v>
      </c>
      <c r="F646" s="5" t="str">
        <f t="shared" ref="F646:F652" si="73">"汉族"</f>
        <v>汉族</v>
      </c>
    </row>
    <row r="647" ht="30" customHeight="1" spans="1:6">
      <c r="A647" s="5">
        <v>645</v>
      </c>
      <c r="B647" s="5" t="str">
        <f>"36412021123116394671051"</f>
        <v>36412021123116394671051</v>
      </c>
      <c r="C647" s="5" t="s">
        <v>20</v>
      </c>
      <c r="D647" s="5" t="str">
        <f>"王景荟"</f>
        <v>王景荟</v>
      </c>
      <c r="E647" s="5" t="str">
        <f t="shared" si="72"/>
        <v>女</v>
      </c>
      <c r="F647" s="5" t="str">
        <f t="shared" si="73"/>
        <v>汉族</v>
      </c>
    </row>
    <row r="648" ht="30" customHeight="1" spans="1:6">
      <c r="A648" s="5">
        <v>646</v>
      </c>
      <c r="B648" s="5" t="str">
        <f>"36412021123116414571057"</f>
        <v>36412021123116414571057</v>
      </c>
      <c r="C648" s="5" t="s">
        <v>20</v>
      </c>
      <c r="D648" s="5" t="str">
        <f>"符艳影"</f>
        <v>符艳影</v>
      </c>
      <c r="E648" s="5" t="str">
        <f t="shared" si="72"/>
        <v>女</v>
      </c>
      <c r="F648" s="5" t="str">
        <f t="shared" si="73"/>
        <v>汉族</v>
      </c>
    </row>
    <row r="649" ht="30" customHeight="1" spans="1:6">
      <c r="A649" s="5">
        <v>647</v>
      </c>
      <c r="B649" s="5" t="str">
        <f>"36412021123120274071277"</f>
        <v>36412021123120274071277</v>
      </c>
      <c r="C649" s="5" t="s">
        <v>20</v>
      </c>
      <c r="D649" s="5" t="str">
        <f>"杨少花"</f>
        <v>杨少花</v>
      </c>
      <c r="E649" s="5" t="str">
        <f t="shared" si="72"/>
        <v>女</v>
      </c>
      <c r="F649" s="5" t="str">
        <f t="shared" si="73"/>
        <v>汉族</v>
      </c>
    </row>
    <row r="650" ht="30" customHeight="1" spans="1:6">
      <c r="A650" s="5">
        <v>648</v>
      </c>
      <c r="B650" s="5" t="str">
        <f>"36412022010110051071532"</f>
        <v>36412022010110051071532</v>
      </c>
      <c r="C650" s="5" t="s">
        <v>20</v>
      </c>
      <c r="D650" s="5" t="str">
        <f>"张在花"</f>
        <v>张在花</v>
      </c>
      <c r="E650" s="5" t="str">
        <f t="shared" si="72"/>
        <v>女</v>
      </c>
      <c r="F650" s="5" t="str">
        <f t="shared" si="73"/>
        <v>汉族</v>
      </c>
    </row>
    <row r="651" ht="30" customHeight="1" spans="1:6">
      <c r="A651" s="5">
        <v>649</v>
      </c>
      <c r="B651" s="5" t="str">
        <f>"36412022010112215471705"</f>
        <v>36412022010112215471705</v>
      </c>
      <c r="C651" s="5" t="s">
        <v>20</v>
      </c>
      <c r="D651" s="5" t="str">
        <f>" 张燕"</f>
        <v> 张燕</v>
      </c>
      <c r="E651" s="5" t="str">
        <f t="shared" si="72"/>
        <v>女</v>
      </c>
      <c r="F651" s="5" t="str">
        <f t="shared" si="73"/>
        <v>汉族</v>
      </c>
    </row>
    <row r="652" ht="30" customHeight="1" spans="1:6">
      <c r="A652" s="5">
        <v>650</v>
      </c>
      <c r="B652" s="5" t="str">
        <f>"36412022010113281371790"</f>
        <v>36412022010113281371790</v>
      </c>
      <c r="C652" s="5" t="s">
        <v>20</v>
      </c>
      <c r="D652" s="5" t="str">
        <f>"郑来昶"</f>
        <v>郑来昶</v>
      </c>
      <c r="E652" s="5" t="str">
        <f>"男"</f>
        <v>男</v>
      </c>
      <c r="F652" s="5" t="str">
        <f t="shared" si="73"/>
        <v>汉族</v>
      </c>
    </row>
    <row r="653" ht="30" customHeight="1" spans="1:6">
      <c r="A653" s="5">
        <v>651</v>
      </c>
      <c r="B653" s="5" t="str">
        <f>"36412022010122301772321"</f>
        <v>36412022010122301772321</v>
      </c>
      <c r="C653" s="5" t="s">
        <v>20</v>
      </c>
      <c r="D653" s="5" t="str">
        <f>"符丹丹"</f>
        <v>符丹丹</v>
      </c>
      <c r="E653" s="5" t="str">
        <f t="shared" ref="E653:E659" si="74">"女"</f>
        <v>女</v>
      </c>
      <c r="F653" s="5" t="str">
        <f>"黎族"</f>
        <v>黎族</v>
      </c>
    </row>
    <row r="654" ht="30" customHeight="1" spans="1:6">
      <c r="A654" s="5">
        <v>652</v>
      </c>
      <c r="B654" s="5" t="str">
        <f>"36412022010200273272393"</f>
        <v>36412022010200273272393</v>
      </c>
      <c r="C654" s="5" t="s">
        <v>20</v>
      </c>
      <c r="D654" s="5" t="str">
        <f>"陈香池"</f>
        <v>陈香池</v>
      </c>
      <c r="E654" s="5" t="str">
        <f t="shared" si="74"/>
        <v>女</v>
      </c>
      <c r="F654" s="5" t="str">
        <f>"黎族"</f>
        <v>黎族</v>
      </c>
    </row>
    <row r="655" ht="30" customHeight="1" spans="1:6">
      <c r="A655" s="5">
        <v>653</v>
      </c>
      <c r="B655" s="5" t="str">
        <f>"36412022010209265772464"</f>
        <v>36412022010209265772464</v>
      </c>
      <c r="C655" s="5" t="s">
        <v>20</v>
      </c>
      <c r="D655" s="5" t="str">
        <f>"黎昌柳"</f>
        <v>黎昌柳</v>
      </c>
      <c r="E655" s="5" t="str">
        <f t="shared" si="74"/>
        <v>女</v>
      </c>
      <c r="F655" s="5" t="str">
        <f t="shared" ref="F655:F661" si="75">"汉族"</f>
        <v>汉族</v>
      </c>
    </row>
    <row r="656" ht="30" customHeight="1" spans="1:6">
      <c r="A656" s="5">
        <v>654</v>
      </c>
      <c r="B656" s="5" t="str">
        <f>"36412022010213103072767"</f>
        <v>36412022010213103072767</v>
      </c>
      <c r="C656" s="5" t="s">
        <v>20</v>
      </c>
      <c r="D656" s="5" t="str">
        <f>"符海娟"</f>
        <v>符海娟</v>
      </c>
      <c r="E656" s="5" t="str">
        <f t="shared" si="74"/>
        <v>女</v>
      </c>
      <c r="F656" s="5" t="str">
        <f t="shared" si="75"/>
        <v>汉族</v>
      </c>
    </row>
    <row r="657" ht="30" customHeight="1" spans="1:6">
      <c r="A657" s="5">
        <v>655</v>
      </c>
      <c r="B657" s="5" t="str">
        <f>"36412022010217002173038"</f>
        <v>36412022010217002173038</v>
      </c>
      <c r="C657" s="5" t="s">
        <v>20</v>
      </c>
      <c r="D657" s="5" t="str">
        <f>"陈冬迪"</f>
        <v>陈冬迪</v>
      </c>
      <c r="E657" s="5" t="str">
        <f t="shared" si="74"/>
        <v>女</v>
      </c>
      <c r="F657" s="5" t="str">
        <f t="shared" si="75"/>
        <v>汉族</v>
      </c>
    </row>
    <row r="658" ht="30" customHeight="1" spans="1:6">
      <c r="A658" s="5">
        <v>656</v>
      </c>
      <c r="B658" s="5" t="str">
        <f>"36412022010222330773387"</f>
        <v>36412022010222330773387</v>
      </c>
      <c r="C658" s="5" t="s">
        <v>20</v>
      </c>
      <c r="D658" s="5" t="str">
        <f>"王玉英"</f>
        <v>王玉英</v>
      </c>
      <c r="E658" s="5" t="str">
        <f t="shared" si="74"/>
        <v>女</v>
      </c>
      <c r="F658" s="5" t="str">
        <f t="shared" si="75"/>
        <v>汉族</v>
      </c>
    </row>
    <row r="659" ht="30" customHeight="1" spans="1:6">
      <c r="A659" s="5">
        <v>657</v>
      </c>
      <c r="B659" s="5" t="str">
        <f>"36412022010312102074641"</f>
        <v>36412022010312102074641</v>
      </c>
      <c r="C659" s="5" t="s">
        <v>20</v>
      </c>
      <c r="D659" s="5" t="str">
        <f>"吕宜江"</f>
        <v>吕宜江</v>
      </c>
      <c r="E659" s="5" t="str">
        <f t="shared" si="74"/>
        <v>女</v>
      </c>
      <c r="F659" s="5" t="str">
        <f t="shared" si="75"/>
        <v>汉族</v>
      </c>
    </row>
    <row r="660" ht="30" customHeight="1" spans="1:6">
      <c r="A660" s="5">
        <v>658</v>
      </c>
      <c r="B660" s="5" t="str">
        <f>"36412022010315180775366"</f>
        <v>36412022010315180775366</v>
      </c>
      <c r="C660" s="5" t="s">
        <v>20</v>
      </c>
      <c r="D660" s="5" t="str">
        <f>"吴乾弘"</f>
        <v>吴乾弘</v>
      </c>
      <c r="E660" s="5" t="str">
        <f>"男"</f>
        <v>男</v>
      </c>
      <c r="F660" s="5" t="str">
        <f t="shared" si="75"/>
        <v>汉族</v>
      </c>
    </row>
    <row r="661" ht="30" customHeight="1" spans="1:6">
      <c r="A661" s="5">
        <v>659</v>
      </c>
      <c r="B661" s="5" t="str">
        <f>"36412022010316104375558"</f>
        <v>36412022010316104375558</v>
      </c>
      <c r="C661" s="5" t="s">
        <v>20</v>
      </c>
      <c r="D661" s="5" t="str">
        <f>"郑玲玲"</f>
        <v>郑玲玲</v>
      </c>
      <c r="E661" s="5" t="str">
        <f>"女"</f>
        <v>女</v>
      </c>
      <c r="F661" s="5" t="str">
        <f t="shared" si="75"/>
        <v>汉族</v>
      </c>
    </row>
    <row r="662" ht="30" customHeight="1" spans="1:6">
      <c r="A662" s="5">
        <v>660</v>
      </c>
      <c r="B662" s="5" t="str">
        <f>"36412022010410160678051"</f>
        <v>36412022010410160678051</v>
      </c>
      <c r="C662" s="5" t="s">
        <v>20</v>
      </c>
      <c r="D662" s="5" t="str">
        <f>"李攀"</f>
        <v>李攀</v>
      </c>
      <c r="E662" s="5" t="str">
        <f>"女"</f>
        <v>女</v>
      </c>
      <c r="F662" s="5" t="str">
        <f>"黎族"</f>
        <v>黎族</v>
      </c>
    </row>
    <row r="663" ht="30" customHeight="1" spans="1:6">
      <c r="A663" s="5">
        <v>661</v>
      </c>
      <c r="B663" s="5" t="str">
        <f>"36412022010410394078261"</f>
        <v>36412022010410394078261</v>
      </c>
      <c r="C663" s="5" t="s">
        <v>20</v>
      </c>
      <c r="D663" s="5" t="str">
        <f>"符会媛"</f>
        <v>符会媛</v>
      </c>
      <c r="E663" s="5" t="str">
        <f>"女"</f>
        <v>女</v>
      </c>
      <c r="F663" s="5" t="str">
        <f>"黎族"</f>
        <v>黎族</v>
      </c>
    </row>
    <row r="664" ht="30" customHeight="1" spans="1:6">
      <c r="A664" s="5">
        <v>662</v>
      </c>
      <c r="B664" s="5" t="str">
        <f>"36412022010412061378917"</f>
        <v>36412022010412061378917</v>
      </c>
      <c r="C664" s="5" t="s">
        <v>20</v>
      </c>
      <c r="D664" s="5" t="str">
        <f>"杨炳汉"</f>
        <v>杨炳汉</v>
      </c>
      <c r="E664" s="5" t="str">
        <f>"男"</f>
        <v>男</v>
      </c>
      <c r="F664" s="5" t="str">
        <f>"汉族"</f>
        <v>汉族</v>
      </c>
    </row>
    <row r="665" ht="30" customHeight="1" spans="1:6">
      <c r="A665" s="5">
        <v>663</v>
      </c>
      <c r="B665" s="5" t="str">
        <f>"36412022010416372080301"</f>
        <v>36412022010416372080301</v>
      </c>
      <c r="C665" s="5" t="s">
        <v>20</v>
      </c>
      <c r="D665" s="5" t="str">
        <f>"麦春菊"</f>
        <v>麦春菊</v>
      </c>
      <c r="E665" s="5" t="str">
        <f t="shared" ref="E665:E678" si="76">"女"</f>
        <v>女</v>
      </c>
      <c r="F665" s="5" t="str">
        <f>"黎族"</f>
        <v>黎族</v>
      </c>
    </row>
    <row r="666" ht="30" customHeight="1" spans="1:6">
      <c r="A666" s="5">
        <v>664</v>
      </c>
      <c r="B666" s="5" t="str">
        <f>"36412022010419130381047"</f>
        <v>36412022010419130381047</v>
      </c>
      <c r="C666" s="5" t="s">
        <v>20</v>
      </c>
      <c r="D666" s="5" t="str">
        <f>"谭小梅"</f>
        <v>谭小梅</v>
      </c>
      <c r="E666" s="5" t="str">
        <f t="shared" si="76"/>
        <v>女</v>
      </c>
      <c r="F666" s="5" t="str">
        <f>"汉族"</f>
        <v>汉族</v>
      </c>
    </row>
    <row r="667" ht="30" customHeight="1" spans="1:6">
      <c r="A667" s="5">
        <v>665</v>
      </c>
      <c r="B667" s="5" t="str">
        <f>"36412022010421371881752"</f>
        <v>36412022010421371881752</v>
      </c>
      <c r="C667" s="5" t="s">
        <v>20</v>
      </c>
      <c r="D667" s="5" t="str">
        <f>"陈应宽"</f>
        <v>陈应宽</v>
      </c>
      <c r="E667" s="5" t="str">
        <f t="shared" si="76"/>
        <v>女</v>
      </c>
      <c r="F667" s="5" t="str">
        <f>"汉族"</f>
        <v>汉族</v>
      </c>
    </row>
    <row r="668" ht="30" customHeight="1" spans="1:6">
      <c r="A668" s="5">
        <v>666</v>
      </c>
      <c r="B668" s="5" t="str">
        <f>"36412022010511114383355"</f>
        <v>36412022010511114383355</v>
      </c>
      <c r="C668" s="5" t="s">
        <v>20</v>
      </c>
      <c r="D668" s="5" t="str">
        <f>"王初乾"</f>
        <v>王初乾</v>
      </c>
      <c r="E668" s="5" t="str">
        <f t="shared" si="76"/>
        <v>女</v>
      </c>
      <c r="F668" s="5" t="str">
        <f>"汉族"</f>
        <v>汉族</v>
      </c>
    </row>
    <row r="669" ht="30" customHeight="1" spans="1:6">
      <c r="A669" s="5">
        <v>667</v>
      </c>
      <c r="B669" s="5" t="str">
        <f>"36412022010512323583751"</f>
        <v>36412022010512323583751</v>
      </c>
      <c r="C669" s="5" t="s">
        <v>20</v>
      </c>
      <c r="D669" s="5" t="str">
        <f>"潘泉欣"</f>
        <v>潘泉欣</v>
      </c>
      <c r="E669" s="5" t="str">
        <f t="shared" si="76"/>
        <v>女</v>
      </c>
      <c r="F669" s="5" t="str">
        <f>"汉族"</f>
        <v>汉族</v>
      </c>
    </row>
    <row r="670" ht="30" customHeight="1" spans="1:6">
      <c r="A670" s="5">
        <v>668</v>
      </c>
      <c r="B670" s="5" t="str">
        <f>"36412022010512450683809"</f>
        <v>36412022010512450683809</v>
      </c>
      <c r="C670" s="5" t="s">
        <v>20</v>
      </c>
      <c r="D670" s="5" t="str">
        <f>"符坤梅"</f>
        <v>符坤梅</v>
      </c>
      <c r="E670" s="5" t="str">
        <f t="shared" si="76"/>
        <v>女</v>
      </c>
      <c r="F670" s="5" t="str">
        <f>"汉族"</f>
        <v>汉族</v>
      </c>
    </row>
    <row r="671" ht="30" customHeight="1" spans="1:6">
      <c r="A671" s="5">
        <v>669</v>
      </c>
      <c r="B671" s="5" t="str">
        <f>"36412022010515103084488"</f>
        <v>36412022010515103084488</v>
      </c>
      <c r="C671" s="5" t="s">
        <v>20</v>
      </c>
      <c r="D671" s="5" t="str">
        <f>"陈小娟"</f>
        <v>陈小娟</v>
      </c>
      <c r="E671" s="5" t="str">
        <f t="shared" si="76"/>
        <v>女</v>
      </c>
      <c r="F671" s="5" t="str">
        <f>"黎族"</f>
        <v>黎族</v>
      </c>
    </row>
    <row r="672" ht="30" customHeight="1" spans="1:6">
      <c r="A672" s="5">
        <v>670</v>
      </c>
      <c r="B672" s="5" t="str">
        <f>"36412022010515402984692"</f>
        <v>36412022010515402984692</v>
      </c>
      <c r="C672" s="5" t="s">
        <v>20</v>
      </c>
      <c r="D672" s="5" t="str">
        <f>"陈万顽"</f>
        <v>陈万顽</v>
      </c>
      <c r="E672" s="5" t="str">
        <f t="shared" si="76"/>
        <v>女</v>
      </c>
      <c r="F672" s="5" t="str">
        <f t="shared" ref="F672:F685" si="77">"汉族"</f>
        <v>汉族</v>
      </c>
    </row>
    <row r="673" ht="30" customHeight="1" spans="1:6">
      <c r="A673" s="5">
        <v>671</v>
      </c>
      <c r="B673" s="5" t="str">
        <f>"36412022010519500685757"</f>
        <v>36412022010519500685757</v>
      </c>
      <c r="C673" s="5" t="s">
        <v>20</v>
      </c>
      <c r="D673" s="5" t="str">
        <f>"张小英"</f>
        <v>张小英</v>
      </c>
      <c r="E673" s="5" t="str">
        <f t="shared" si="76"/>
        <v>女</v>
      </c>
      <c r="F673" s="5" t="str">
        <f t="shared" si="77"/>
        <v>汉族</v>
      </c>
    </row>
    <row r="674" ht="30" customHeight="1" spans="1:6">
      <c r="A674" s="5">
        <v>672</v>
      </c>
      <c r="B674" s="5" t="str">
        <f>"36412022010520033385824"</f>
        <v>36412022010520033385824</v>
      </c>
      <c r="C674" s="5" t="s">
        <v>20</v>
      </c>
      <c r="D674" s="5" t="str">
        <f>"黎小雯"</f>
        <v>黎小雯</v>
      </c>
      <c r="E674" s="5" t="str">
        <f t="shared" si="76"/>
        <v>女</v>
      </c>
      <c r="F674" s="5" t="str">
        <f t="shared" si="77"/>
        <v>汉族</v>
      </c>
    </row>
    <row r="675" ht="30" customHeight="1" spans="1:6">
      <c r="A675" s="5">
        <v>673</v>
      </c>
      <c r="B675" s="5" t="str">
        <f>"36412022010521343886241"</f>
        <v>36412022010521343886241</v>
      </c>
      <c r="C675" s="5" t="s">
        <v>20</v>
      </c>
      <c r="D675" s="5" t="str">
        <f>"李慧玲"</f>
        <v>李慧玲</v>
      </c>
      <c r="E675" s="5" t="str">
        <f t="shared" si="76"/>
        <v>女</v>
      </c>
      <c r="F675" s="5" t="str">
        <f t="shared" si="77"/>
        <v>汉族</v>
      </c>
    </row>
    <row r="676" ht="30" customHeight="1" spans="1:6">
      <c r="A676" s="5">
        <v>674</v>
      </c>
      <c r="B676" s="5" t="str">
        <f>"36412022010600161686732"</f>
        <v>36412022010600161686732</v>
      </c>
      <c r="C676" s="5" t="s">
        <v>20</v>
      </c>
      <c r="D676" s="5" t="str">
        <f>"刘红怡"</f>
        <v>刘红怡</v>
      </c>
      <c r="E676" s="5" t="str">
        <f t="shared" si="76"/>
        <v>女</v>
      </c>
      <c r="F676" s="5" t="str">
        <f t="shared" si="77"/>
        <v>汉族</v>
      </c>
    </row>
    <row r="677" ht="30" customHeight="1" spans="1:6">
      <c r="A677" s="5">
        <v>675</v>
      </c>
      <c r="B677" s="5" t="str">
        <f>"36412022010715471892052"</f>
        <v>36412022010715471892052</v>
      </c>
      <c r="C677" s="5" t="s">
        <v>20</v>
      </c>
      <c r="D677" s="5" t="str">
        <f>"赵彩丹"</f>
        <v>赵彩丹</v>
      </c>
      <c r="E677" s="5" t="str">
        <f t="shared" si="76"/>
        <v>女</v>
      </c>
      <c r="F677" s="5" t="str">
        <f t="shared" si="77"/>
        <v>汉族</v>
      </c>
    </row>
    <row r="678" ht="30" customHeight="1" spans="1:6">
      <c r="A678" s="5">
        <v>676</v>
      </c>
      <c r="B678" s="5" t="str">
        <f>"36412022010809444893162"</f>
        <v>36412022010809444893162</v>
      </c>
      <c r="C678" s="5" t="s">
        <v>20</v>
      </c>
      <c r="D678" s="5" t="str">
        <f>"许春玲"</f>
        <v>许春玲</v>
      </c>
      <c r="E678" s="5" t="str">
        <f t="shared" si="76"/>
        <v>女</v>
      </c>
      <c r="F678" s="5" t="str">
        <f t="shared" si="77"/>
        <v>汉族</v>
      </c>
    </row>
    <row r="679" ht="30" customHeight="1" spans="1:6">
      <c r="A679" s="5">
        <v>677</v>
      </c>
      <c r="B679" s="5" t="str">
        <f>"36412022010817034393784"</f>
        <v>36412022010817034393784</v>
      </c>
      <c r="C679" s="5" t="s">
        <v>20</v>
      </c>
      <c r="D679" s="5" t="str">
        <f>"陈伟"</f>
        <v>陈伟</v>
      </c>
      <c r="E679" s="5" t="str">
        <f>"男"</f>
        <v>男</v>
      </c>
      <c r="F679" s="5" t="str">
        <f t="shared" si="77"/>
        <v>汉族</v>
      </c>
    </row>
    <row r="680" ht="30" customHeight="1" spans="1:6">
      <c r="A680" s="5">
        <v>678</v>
      </c>
      <c r="B680" s="5" t="str">
        <f>"36412022010911251594937"</f>
        <v>36412022010911251594937</v>
      </c>
      <c r="C680" s="5" t="s">
        <v>20</v>
      </c>
      <c r="D680" s="5" t="str">
        <f>"文世波"</f>
        <v>文世波</v>
      </c>
      <c r="E680" s="5" t="str">
        <f>"男"</f>
        <v>男</v>
      </c>
      <c r="F680" s="5" t="str">
        <f t="shared" si="77"/>
        <v>汉族</v>
      </c>
    </row>
    <row r="681" ht="30" customHeight="1" spans="1:6">
      <c r="A681" s="5">
        <v>679</v>
      </c>
      <c r="B681" s="5" t="str">
        <f>"36412022010914175395300"</f>
        <v>36412022010914175395300</v>
      </c>
      <c r="C681" s="5" t="s">
        <v>20</v>
      </c>
      <c r="D681" s="5" t="str">
        <f>"张晓椰"</f>
        <v>张晓椰</v>
      </c>
      <c r="E681" s="5" t="str">
        <f t="shared" ref="E681:E689" si="78">"女"</f>
        <v>女</v>
      </c>
      <c r="F681" s="5" t="str">
        <f t="shared" si="77"/>
        <v>汉族</v>
      </c>
    </row>
    <row r="682" ht="30" customHeight="1" spans="1:6">
      <c r="A682" s="5">
        <v>680</v>
      </c>
      <c r="B682" s="5" t="str">
        <f>"36412022010919223295806"</f>
        <v>36412022010919223295806</v>
      </c>
      <c r="C682" s="5" t="s">
        <v>20</v>
      </c>
      <c r="D682" s="5" t="str">
        <f>"王跃情"</f>
        <v>王跃情</v>
      </c>
      <c r="E682" s="5" t="str">
        <f t="shared" si="78"/>
        <v>女</v>
      </c>
      <c r="F682" s="5" t="str">
        <f t="shared" si="77"/>
        <v>汉族</v>
      </c>
    </row>
    <row r="683" ht="30" customHeight="1" spans="1:6">
      <c r="A683" s="5">
        <v>681</v>
      </c>
      <c r="B683" s="5" t="str">
        <f>"36412022010920093395875"</f>
        <v>36412022010920093395875</v>
      </c>
      <c r="C683" s="5" t="s">
        <v>20</v>
      </c>
      <c r="D683" s="5" t="str">
        <f>"梁星灿"</f>
        <v>梁星灿</v>
      </c>
      <c r="E683" s="5" t="str">
        <f t="shared" si="78"/>
        <v>女</v>
      </c>
      <c r="F683" s="5" t="str">
        <f t="shared" si="77"/>
        <v>汉族</v>
      </c>
    </row>
    <row r="684" ht="30" customHeight="1" spans="1:6">
      <c r="A684" s="5">
        <v>682</v>
      </c>
      <c r="B684" s="5" t="str">
        <f>"36412022010921421296050"</f>
        <v>36412022010921421296050</v>
      </c>
      <c r="C684" s="5" t="s">
        <v>20</v>
      </c>
      <c r="D684" s="5" t="str">
        <f>"王琼扬"</f>
        <v>王琼扬</v>
      </c>
      <c r="E684" s="5" t="str">
        <f t="shared" si="78"/>
        <v>女</v>
      </c>
      <c r="F684" s="5" t="str">
        <f t="shared" si="77"/>
        <v>汉族</v>
      </c>
    </row>
    <row r="685" ht="30" customHeight="1" spans="1:6">
      <c r="A685" s="5">
        <v>683</v>
      </c>
      <c r="B685" s="5" t="str">
        <f>"36412022010922040996091"</f>
        <v>36412022010922040996091</v>
      </c>
      <c r="C685" s="5" t="s">
        <v>20</v>
      </c>
      <c r="D685" s="5" t="str">
        <f>"林文青"</f>
        <v>林文青</v>
      </c>
      <c r="E685" s="5" t="str">
        <f t="shared" si="78"/>
        <v>女</v>
      </c>
      <c r="F685" s="5" t="str">
        <f t="shared" si="77"/>
        <v>汉族</v>
      </c>
    </row>
    <row r="686" ht="30" customHeight="1" spans="1:6">
      <c r="A686" s="5">
        <v>684</v>
      </c>
      <c r="B686" s="5" t="str">
        <f>"36412022010922311396144"</f>
        <v>36412022010922311396144</v>
      </c>
      <c r="C686" s="5" t="s">
        <v>20</v>
      </c>
      <c r="D686" s="5" t="str">
        <f>"王菊"</f>
        <v>王菊</v>
      </c>
      <c r="E686" s="5" t="str">
        <f t="shared" si="78"/>
        <v>女</v>
      </c>
      <c r="F686" s="5" t="str">
        <f>"黎族"</f>
        <v>黎族</v>
      </c>
    </row>
    <row r="687" ht="30" customHeight="1" spans="1:6">
      <c r="A687" s="5">
        <v>685</v>
      </c>
      <c r="B687" s="5" t="str">
        <f>"36412022010923270196216"</f>
        <v>36412022010923270196216</v>
      </c>
      <c r="C687" s="5" t="s">
        <v>20</v>
      </c>
      <c r="D687" s="5" t="str">
        <f>"林永教"</f>
        <v>林永教</v>
      </c>
      <c r="E687" s="5" t="str">
        <f t="shared" si="78"/>
        <v>女</v>
      </c>
      <c r="F687" s="5" t="str">
        <f>"汉族"</f>
        <v>汉族</v>
      </c>
    </row>
    <row r="688" ht="30" customHeight="1" spans="1:6">
      <c r="A688" s="5">
        <v>686</v>
      </c>
      <c r="B688" s="5" t="str">
        <f>"36412022011010234696666"</f>
        <v>36412022011010234696666</v>
      </c>
      <c r="C688" s="5" t="s">
        <v>20</v>
      </c>
      <c r="D688" s="5" t="str">
        <f>"梁馨允"</f>
        <v>梁馨允</v>
      </c>
      <c r="E688" s="5" t="str">
        <f t="shared" si="78"/>
        <v>女</v>
      </c>
      <c r="F688" s="5" t="str">
        <f>"汉族"</f>
        <v>汉族</v>
      </c>
    </row>
    <row r="689" ht="30" customHeight="1" spans="1:6">
      <c r="A689" s="5">
        <v>687</v>
      </c>
      <c r="B689" s="5" t="str">
        <f>"36412022011011393796919"</f>
        <v>36412022011011393796919</v>
      </c>
      <c r="C689" s="5" t="s">
        <v>20</v>
      </c>
      <c r="D689" s="5" t="str">
        <f>"陈靓"</f>
        <v>陈靓</v>
      </c>
      <c r="E689" s="5" t="str">
        <f t="shared" si="78"/>
        <v>女</v>
      </c>
      <c r="F689" s="5" t="str">
        <f>"汉族"</f>
        <v>汉族</v>
      </c>
    </row>
    <row r="690" ht="30" customHeight="1" spans="1:6">
      <c r="A690" s="5">
        <v>688</v>
      </c>
      <c r="B690" s="5" t="str">
        <f>"36412021123110201070000"</f>
        <v>36412021123110201070000</v>
      </c>
      <c r="C690" s="5" t="s">
        <v>21</v>
      </c>
      <c r="D690" s="5" t="str">
        <f>"朱臣昆"</f>
        <v>朱臣昆</v>
      </c>
      <c r="E690" s="5" t="str">
        <f>"男"</f>
        <v>男</v>
      </c>
      <c r="F690" s="5" t="str">
        <f>"汉族"</f>
        <v>汉族</v>
      </c>
    </row>
    <row r="691" ht="30" customHeight="1" spans="1:6">
      <c r="A691" s="5">
        <v>689</v>
      </c>
      <c r="B691" s="5" t="str">
        <f>"36412021123110503270153"</f>
        <v>36412021123110503270153</v>
      </c>
      <c r="C691" s="5" t="s">
        <v>21</v>
      </c>
      <c r="D691" s="5" t="str">
        <f>"吴克雪"</f>
        <v>吴克雪</v>
      </c>
      <c r="E691" s="5" t="str">
        <f t="shared" ref="E691:E696" si="79">"女"</f>
        <v>女</v>
      </c>
      <c r="F691" s="5" t="str">
        <f>"汉族"</f>
        <v>汉族</v>
      </c>
    </row>
    <row r="692" ht="30" customHeight="1" spans="1:6">
      <c r="A692" s="5">
        <v>690</v>
      </c>
      <c r="B692" s="5" t="str">
        <f>"36412021123111202570279"</f>
        <v>36412021123111202570279</v>
      </c>
      <c r="C692" s="5" t="s">
        <v>21</v>
      </c>
      <c r="D692" s="5" t="str">
        <f>"林春金"</f>
        <v>林春金</v>
      </c>
      <c r="E692" s="5" t="str">
        <f t="shared" si="79"/>
        <v>女</v>
      </c>
      <c r="F692" s="5" t="str">
        <f>"黎族"</f>
        <v>黎族</v>
      </c>
    </row>
    <row r="693" ht="30" customHeight="1" spans="1:6">
      <c r="A693" s="5">
        <v>691</v>
      </c>
      <c r="B693" s="5" t="str">
        <f>"36412021123111330570318"</f>
        <v>36412021123111330570318</v>
      </c>
      <c r="C693" s="5" t="s">
        <v>21</v>
      </c>
      <c r="D693" s="5" t="str">
        <f>"何芳婷"</f>
        <v>何芳婷</v>
      </c>
      <c r="E693" s="5" t="str">
        <f t="shared" si="79"/>
        <v>女</v>
      </c>
      <c r="F693" s="5" t="str">
        <f t="shared" ref="F693:F698" si="80">"汉族"</f>
        <v>汉族</v>
      </c>
    </row>
    <row r="694" ht="30" customHeight="1" spans="1:6">
      <c r="A694" s="5">
        <v>692</v>
      </c>
      <c r="B694" s="5" t="str">
        <f>"36412021123113115970567"</f>
        <v>36412021123113115970567</v>
      </c>
      <c r="C694" s="5" t="s">
        <v>21</v>
      </c>
      <c r="D694" s="5" t="str">
        <f>"黄甜"</f>
        <v>黄甜</v>
      </c>
      <c r="E694" s="5" t="str">
        <f t="shared" si="79"/>
        <v>女</v>
      </c>
      <c r="F694" s="5" t="str">
        <f t="shared" si="80"/>
        <v>汉族</v>
      </c>
    </row>
    <row r="695" ht="30" customHeight="1" spans="1:6">
      <c r="A695" s="5">
        <v>693</v>
      </c>
      <c r="B695" s="5" t="str">
        <f>"36412021123116101070980"</f>
        <v>36412021123116101070980</v>
      </c>
      <c r="C695" s="5" t="s">
        <v>21</v>
      </c>
      <c r="D695" s="5" t="str">
        <f>"卢亮霞"</f>
        <v>卢亮霞</v>
      </c>
      <c r="E695" s="5" t="str">
        <f t="shared" si="79"/>
        <v>女</v>
      </c>
      <c r="F695" s="5" t="str">
        <f t="shared" si="80"/>
        <v>汉族</v>
      </c>
    </row>
    <row r="696" ht="30" customHeight="1" spans="1:6">
      <c r="A696" s="5">
        <v>694</v>
      </c>
      <c r="B696" s="5" t="str">
        <f>"36412021123121113871315"</f>
        <v>36412021123121113871315</v>
      </c>
      <c r="C696" s="5" t="s">
        <v>21</v>
      </c>
      <c r="D696" s="5" t="str">
        <f>"詹凌梅"</f>
        <v>詹凌梅</v>
      </c>
      <c r="E696" s="5" t="str">
        <f t="shared" si="79"/>
        <v>女</v>
      </c>
      <c r="F696" s="5" t="str">
        <f t="shared" si="80"/>
        <v>汉族</v>
      </c>
    </row>
    <row r="697" ht="30" customHeight="1" spans="1:6">
      <c r="A697" s="5">
        <v>695</v>
      </c>
      <c r="B697" s="5" t="str">
        <f>"36412021123121133271317"</f>
        <v>36412021123121133271317</v>
      </c>
      <c r="C697" s="5" t="s">
        <v>21</v>
      </c>
      <c r="D697" s="5" t="str">
        <f>"陈光墉"</f>
        <v>陈光墉</v>
      </c>
      <c r="E697" s="5" t="str">
        <f>"男"</f>
        <v>男</v>
      </c>
      <c r="F697" s="5" t="str">
        <f t="shared" si="80"/>
        <v>汉族</v>
      </c>
    </row>
    <row r="698" ht="30" customHeight="1" spans="1:6">
      <c r="A698" s="5">
        <v>696</v>
      </c>
      <c r="B698" s="5" t="str">
        <f>"36412022010110574971600"</f>
        <v>36412022010110574971600</v>
      </c>
      <c r="C698" s="5" t="s">
        <v>21</v>
      </c>
      <c r="D698" s="5" t="str">
        <f>"陈嘉琪"</f>
        <v>陈嘉琪</v>
      </c>
      <c r="E698" s="5" t="str">
        <f>"女"</f>
        <v>女</v>
      </c>
      <c r="F698" s="5" t="str">
        <f t="shared" si="80"/>
        <v>汉族</v>
      </c>
    </row>
    <row r="699" ht="30" customHeight="1" spans="1:6">
      <c r="A699" s="5">
        <v>697</v>
      </c>
      <c r="B699" s="5" t="str">
        <f>"36412022010209142272450"</f>
        <v>36412022010209142272450</v>
      </c>
      <c r="C699" s="5" t="s">
        <v>21</v>
      </c>
      <c r="D699" s="5" t="str">
        <f>"吉贝"</f>
        <v>吉贝</v>
      </c>
      <c r="E699" s="5" t="str">
        <f>"男"</f>
        <v>男</v>
      </c>
      <c r="F699" s="5" t="str">
        <f>"黎族"</f>
        <v>黎族</v>
      </c>
    </row>
    <row r="700" ht="30" customHeight="1" spans="1:6">
      <c r="A700" s="5">
        <v>698</v>
      </c>
      <c r="B700" s="5" t="str">
        <f>"36412022010216423773018"</f>
        <v>36412022010216423773018</v>
      </c>
      <c r="C700" s="5" t="s">
        <v>21</v>
      </c>
      <c r="D700" s="5" t="str">
        <f>"羊代香"</f>
        <v>羊代香</v>
      </c>
      <c r="E700" s="5" t="str">
        <f>"女"</f>
        <v>女</v>
      </c>
      <c r="F700" s="5" t="str">
        <f t="shared" ref="F700:F708" si="81">"汉族"</f>
        <v>汉族</v>
      </c>
    </row>
    <row r="701" ht="30" customHeight="1" spans="1:6">
      <c r="A701" s="5">
        <v>699</v>
      </c>
      <c r="B701" s="5" t="str">
        <f>"36412022010217445673081"</f>
        <v>36412022010217445673081</v>
      </c>
      <c r="C701" s="5" t="s">
        <v>21</v>
      </c>
      <c r="D701" s="5" t="str">
        <f>"郑芳媛"</f>
        <v>郑芳媛</v>
      </c>
      <c r="E701" s="5" t="str">
        <f>"女"</f>
        <v>女</v>
      </c>
      <c r="F701" s="5" t="str">
        <f t="shared" si="81"/>
        <v>汉族</v>
      </c>
    </row>
    <row r="702" ht="30" customHeight="1" spans="1:6">
      <c r="A702" s="5">
        <v>700</v>
      </c>
      <c r="B702" s="5" t="str">
        <f>"36412022010223295473427"</f>
        <v>36412022010223295473427</v>
      </c>
      <c r="C702" s="5" t="s">
        <v>21</v>
      </c>
      <c r="D702" s="5" t="str">
        <f>"高莉"</f>
        <v>高莉</v>
      </c>
      <c r="E702" s="5" t="str">
        <f>"女"</f>
        <v>女</v>
      </c>
      <c r="F702" s="5" t="str">
        <f t="shared" si="81"/>
        <v>汉族</v>
      </c>
    </row>
    <row r="703" ht="30" customHeight="1" spans="1:6">
      <c r="A703" s="5">
        <v>701</v>
      </c>
      <c r="B703" s="5" t="str">
        <f>"36412022010311052274300"</f>
        <v>36412022010311052274300</v>
      </c>
      <c r="C703" s="5" t="s">
        <v>21</v>
      </c>
      <c r="D703" s="5" t="str">
        <f>"林志敏"</f>
        <v>林志敏</v>
      </c>
      <c r="E703" s="5" t="str">
        <f>"男"</f>
        <v>男</v>
      </c>
      <c r="F703" s="5" t="str">
        <f t="shared" si="81"/>
        <v>汉族</v>
      </c>
    </row>
    <row r="704" ht="30" customHeight="1" spans="1:6">
      <c r="A704" s="5">
        <v>702</v>
      </c>
      <c r="B704" s="5" t="str">
        <f>"36412022010318590576098"</f>
        <v>36412022010318590576098</v>
      </c>
      <c r="C704" s="5" t="s">
        <v>21</v>
      </c>
      <c r="D704" s="5" t="str">
        <f>"曾少梅"</f>
        <v>曾少梅</v>
      </c>
      <c r="E704" s="5" t="str">
        <f t="shared" ref="E704:E709" si="82">"女"</f>
        <v>女</v>
      </c>
      <c r="F704" s="5" t="str">
        <f t="shared" si="81"/>
        <v>汉族</v>
      </c>
    </row>
    <row r="705" ht="30" customHeight="1" spans="1:6">
      <c r="A705" s="5">
        <v>703</v>
      </c>
      <c r="B705" s="5" t="str">
        <f>"36412022010319450876248"</f>
        <v>36412022010319450876248</v>
      </c>
      <c r="C705" s="5" t="s">
        <v>21</v>
      </c>
      <c r="D705" s="5" t="str">
        <f>"林建娥"</f>
        <v>林建娥</v>
      </c>
      <c r="E705" s="5" t="str">
        <f t="shared" si="82"/>
        <v>女</v>
      </c>
      <c r="F705" s="5" t="str">
        <f t="shared" si="81"/>
        <v>汉族</v>
      </c>
    </row>
    <row r="706" ht="30" customHeight="1" spans="1:6">
      <c r="A706" s="5">
        <v>704</v>
      </c>
      <c r="B706" s="5" t="str">
        <f>"36412022010322022776693"</f>
        <v>36412022010322022776693</v>
      </c>
      <c r="C706" s="5" t="s">
        <v>21</v>
      </c>
      <c r="D706" s="5" t="str">
        <f>"梅蕾"</f>
        <v>梅蕾</v>
      </c>
      <c r="E706" s="5" t="str">
        <f t="shared" si="82"/>
        <v>女</v>
      </c>
      <c r="F706" s="5" t="str">
        <f t="shared" si="81"/>
        <v>汉族</v>
      </c>
    </row>
    <row r="707" ht="30" customHeight="1" spans="1:6">
      <c r="A707" s="5">
        <v>705</v>
      </c>
      <c r="B707" s="5" t="str">
        <f>"36412022010322095476724"</f>
        <v>36412022010322095476724</v>
      </c>
      <c r="C707" s="5" t="s">
        <v>21</v>
      </c>
      <c r="D707" s="5" t="str">
        <f>"邓依"</f>
        <v>邓依</v>
      </c>
      <c r="E707" s="5" t="str">
        <f t="shared" si="82"/>
        <v>女</v>
      </c>
      <c r="F707" s="5" t="str">
        <f t="shared" si="81"/>
        <v>汉族</v>
      </c>
    </row>
    <row r="708" ht="30" customHeight="1" spans="1:6">
      <c r="A708" s="5">
        <v>706</v>
      </c>
      <c r="B708" s="5" t="str">
        <f>"36412022010408184277146"</f>
        <v>36412022010408184277146</v>
      </c>
      <c r="C708" s="5" t="s">
        <v>21</v>
      </c>
      <c r="D708" s="5" t="str">
        <f>"张新燕"</f>
        <v>张新燕</v>
      </c>
      <c r="E708" s="5" t="str">
        <f t="shared" si="82"/>
        <v>女</v>
      </c>
      <c r="F708" s="5" t="str">
        <f t="shared" si="81"/>
        <v>汉族</v>
      </c>
    </row>
    <row r="709" ht="30" customHeight="1" spans="1:6">
      <c r="A709" s="5">
        <v>707</v>
      </c>
      <c r="B709" s="5" t="str">
        <f>"36412022010409112077477"</f>
        <v>36412022010409112077477</v>
      </c>
      <c r="C709" s="5" t="s">
        <v>21</v>
      </c>
      <c r="D709" s="5" t="str">
        <f>"刘雯馨"</f>
        <v>刘雯馨</v>
      </c>
      <c r="E709" s="5" t="str">
        <f t="shared" si="82"/>
        <v>女</v>
      </c>
      <c r="F709" s="5" t="str">
        <f>"黎族"</f>
        <v>黎族</v>
      </c>
    </row>
    <row r="710" ht="30" customHeight="1" spans="1:6">
      <c r="A710" s="5">
        <v>708</v>
      </c>
      <c r="B710" s="5" t="str">
        <f>"36412022010410011777913"</f>
        <v>36412022010410011777913</v>
      </c>
      <c r="C710" s="5" t="s">
        <v>21</v>
      </c>
      <c r="D710" s="5" t="str">
        <f>"曾其生"</f>
        <v>曾其生</v>
      </c>
      <c r="E710" s="5" t="str">
        <f>"男"</f>
        <v>男</v>
      </c>
      <c r="F710" s="5" t="str">
        <f>"汉族"</f>
        <v>汉族</v>
      </c>
    </row>
    <row r="711" ht="30" customHeight="1" spans="1:6">
      <c r="A711" s="5">
        <v>709</v>
      </c>
      <c r="B711" s="5" t="str">
        <f>"36412022010411505878840"</f>
        <v>36412022010411505878840</v>
      </c>
      <c r="C711" s="5" t="s">
        <v>21</v>
      </c>
      <c r="D711" s="5" t="str">
        <f>"王雪青"</f>
        <v>王雪青</v>
      </c>
      <c r="E711" s="5" t="str">
        <f t="shared" ref="E711:E718" si="83">"女"</f>
        <v>女</v>
      </c>
      <c r="F711" s="5" t="str">
        <f>"黎族"</f>
        <v>黎族</v>
      </c>
    </row>
    <row r="712" ht="30" customHeight="1" spans="1:6">
      <c r="A712" s="5">
        <v>710</v>
      </c>
      <c r="B712" s="5" t="str">
        <f>"36412022010412041478906"</f>
        <v>36412022010412041478906</v>
      </c>
      <c r="C712" s="5" t="s">
        <v>21</v>
      </c>
      <c r="D712" s="5" t="str">
        <f>"曾妍"</f>
        <v>曾妍</v>
      </c>
      <c r="E712" s="5" t="str">
        <f t="shared" si="83"/>
        <v>女</v>
      </c>
      <c r="F712" s="5" t="str">
        <f>"汉族"</f>
        <v>汉族</v>
      </c>
    </row>
    <row r="713" ht="30" customHeight="1" spans="1:6">
      <c r="A713" s="5">
        <v>711</v>
      </c>
      <c r="B713" s="5" t="str">
        <f>"36412022010415195379823"</f>
        <v>36412022010415195379823</v>
      </c>
      <c r="C713" s="5" t="s">
        <v>21</v>
      </c>
      <c r="D713" s="5" t="str">
        <f>"王秋儿"</f>
        <v>王秋儿</v>
      </c>
      <c r="E713" s="5" t="str">
        <f t="shared" si="83"/>
        <v>女</v>
      </c>
      <c r="F713" s="5" t="str">
        <f>"汉族"</f>
        <v>汉族</v>
      </c>
    </row>
    <row r="714" ht="30" customHeight="1" spans="1:6">
      <c r="A714" s="5">
        <v>712</v>
      </c>
      <c r="B714" s="5" t="str">
        <f>"36412022010415380779940"</f>
        <v>36412022010415380779940</v>
      </c>
      <c r="C714" s="5" t="s">
        <v>21</v>
      </c>
      <c r="D714" s="5" t="str">
        <f>"羊世娟"</f>
        <v>羊世娟</v>
      </c>
      <c r="E714" s="5" t="str">
        <f t="shared" si="83"/>
        <v>女</v>
      </c>
      <c r="F714" s="5" t="str">
        <f>"汉族"</f>
        <v>汉族</v>
      </c>
    </row>
    <row r="715" ht="30" customHeight="1" spans="1:6">
      <c r="A715" s="5">
        <v>713</v>
      </c>
      <c r="B715" s="5" t="str">
        <f>"36412022010421535881811"</f>
        <v>36412022010421535881811</v>
      </c>
      <c r="C715" s="5" t="s">
        <v>21</v>
      </c>
      <c r="D715" s="5" t="str">
        <f>"苗健"</f>
        <v>苗健</v>
      </c>
      <c r="E715" s="5" t="str">
        <f t="shared" si="83"/>
        <v>女</v>
      </c>
      <c r="F715" s="5" t="str">
        <f>"汉族"</f>
        <v>汉族</v>
      </c>
    </row>
    <row r="716" ht="30" customHeight="1" spans="1:6">
      <c r="A716" s="5">
        <v>714</v>
      </c>
      <c r="B716" s="5" t="str">
        <f>"36412022010507515382356"</f>
        <v>36412022010507515382356</v>
      </c>
      <c r="C716" s="5" t="s">
        <v>21</v>
      </c>
      <c r="D716" s="5" t="str">
        <f>"蒋月英"</f>
        <v>蒋月英</v>
      </c>
      <c r="E716" s="5" t="str">
        <f t="shared" si="83"/>
        <v>女</v>
      </c>
      <c r="F716" s="5" t="str">
        <f>"苗族"</f>
        <v>苗族</v>
      </c>
    </row>
    <row r="717" ht="30" customHeight="1" spans="1:6">
      <c r="A717" s="5">
        <v>715</v>
      </c>
      <c r="B717" s="5" t="str">
        <f>"36412022010510332083076"</f>
        <v>36412022010510332083076</v>
      </c>
      <c r="C717" s="5" t="s">
        <v>21</v>
      </c>
      <c r="D717" s="5" t="str">
        <f>"麦琪琪"</f>
        <v>麦琪琪</v>
      </c>
      <c r="E717" s="5" t="str">
        <f t="shared" si="83"/>
        <v>女</v>
      </c>
      <c r="F717" s="5" t="str">
        <f t="shared" ref="F717:F724" si="84">"汉族"</f>
        <v>汉族</v>
      </c>
    </row>
    <row r="718" ht="30" customHeight="1" spans="1:6">
      <c r="A718" s="5">
        <v>716</v>
      </c>
      <c r="B718" s="5" t="str">
        <f>"36412022010510590683260"</f>
        <v>36412022010510590683260</v>
      </c>
      <c r="C718" s="5" t="s">
        <v>21</v>
      </c>
      <c r="D718" s="5" t="str">
        <f>"郑精娥"</f>
        <v>郑精娥</v>
      </c>
      <c r="E718" s="5" t="str">
        <f t="shared" si="83"/>
        <v>女</v>
      </c>
      <c r="F718" s="5" t="str">
        <f t="shared" si="84"/>
        <v>汉族</v>
      </c>
    </row>
    <row r="719" ht="30" customHeight="1" spans="1:6">
      <c r="A719" s="5">
        <v>717</v>
      </c>
      <c r="B719" s="5" t="str">
        <f>"36412022010513014183895"</f>
        <v>36412022010513014183895</v>
      </c>
      <c r="C719" s="5" t="s">
        <v>21</v>
      </c>
      <c r="D719" s="5" t="str">
        <f>"陈少龙"</f>
        <v>陈少龙</v>
      </c>
      <c r="E719" s="5" t="str">
        <f>"男"</f>
        <v>男</v>
      </c>
      <c r="F719" s="5" t="str">
        <f t="shared" si="84"/>
        <v>汉族</v>
      </c>
    </row>
    <row r="720" ht="30" customHeight="1" spans="1:6">
      <c r="A720" s="5">
        <v>718</v>
      </c>
      <c r="B720" s="5" t="str">
        <f>"36412022010521071286115"</f>
        <v>36412022010521071286115</v>
      </c>
      <c r="C720" s="5" t="s">
        <v>21</v>
      </c>
      <c r="D720" s="5" t="str">
        <f>"施美虹"</f>
        <v>施美虹</v>
      </c>
      <c r="E720" s="5" t="str">
        <f>"女"</f>
        <v>女</v>
      </c>
      <c r="F720" s="5" t="str">
        <f t="shared" si="84"/>
        <v>汉族</v>
      </c>
    </row>
    <row r="721" ht="30" customHeight="1" spans="1:6">
      <c r="A721" s="5">
        <v>719</v>
      </c>
      <c r="B721" s="5" t="str">
        <f>"36412022010521092986128"</f>
        <v>36412022010521092986128</v>
      </c>
      <c r="C721" s="5" t="s">
        <v>21</v>
      </c>
      <c r="D721" s="5" t="str">
        <f>"彭博伟"</f>
        <v>彭博伟</v>
      </c>
      <c r="E721" s="5" t="str">
        <f>"男"</f>
        <v>男</v>
      </c>
      <c r="F721" s="5" t="str">
        <f t="shared" si="84"/>
        <v>汉族</v>
      </c>
    </row>
    <row r="722" ht="30" customHeight="1" spans="1:6">
      <c r="A722" s="5">
        <v>720</v>
      </c>
      <c r="B722" s="5" t="str">
        <f>"36412022010522411686530"</f>
        <v>36412022010522411686530</v>
      </c>
      <c r="C722" s="5" t="s">
        <v>21</v>
      </c>
      <c r="D722" s="5" t="str">
        <f>"黄贯咪"</f>
        <v>黄贯咪</v>
      </c>
      <c r="E722" s="5" t="str">
        <f>"女"</f>
        <v>女</v>
      </c>
      <c r="F722" s="5" t="str">
        <f t="shared" si="84"/>
        <v>汉族</v>
      </c>
    </row>
    <row r="723" ht="30" customHeight="1" spans="1:6">
      <c r="A723" s="5">
        <v>721</v>
      </c>
      <c r="B723" s="5" t="str">
        <f>"36412022010611595087757"</f>
        <v>36412022010611595087757</v>
      </c>
      <c r="C723" s="5" t="s">
        <v>21</v>
      </c>
      <c r="D723" s="5" t="str">
        <f>"祁辅智"</f>
        <v>祁辅智</v>
      </c>
      <c r="E723" s="5" t="str">
        <f>"男"</f>
        <v>男</v>
      </c>
      <c r="F723" s="5" t="str">
        <f t="shared" si="84"/>
        <v>汉族</v>
      </c>
    </row>
    <row r="724" ht="30" customHeight="1" spans="1:6">
      <c r="A724" s="5">
        <v>722</v>
      </c>
      <c r="B724" s="5" t="str">
        <f>"36412022010617221689108"</f>
        <v>36412022010617221689108</v>
      </c>
      <c r="C724" s="5" t="s">
        <v>21</v>
      </c>
      <c r="D724" s="5" t="str">
        <f>"林秋凤"</f>
        <v>林秋凤</v>
      </c>
      <c r="E724" s="5" t="str">
        <f>"女"</f>
        <v>女</v>
      </c>
      <c r="F724" s="5" t="str">
        <f t="shared" si="84"/>
        <v>汉族</v>
      </c>
    </row>
    <row r="725" ht="30" customHeight="1" spans="1:6">
      <c r="A725" s="5">
        <v>723</v>
      </c>
      <c r="B725" s="5" t="str">
        <f>"36412022010617380489170"</f>
        <v>36412022010617380489170</v>
      </c>
      <c r="C725" s="5" t="s">
        <v>21</v>
      </c>
      <c r="D725" s="5" t="str">
        <f>"黄珍珍"</f>
        <v>黄珍珍</v>
      </c>
      <c r="E725" s="5" t="str">
        <f>"女"</f>
        <v>女</v>
      </c>
      <c r="F725" s="5" t="str">
        <f>"黎族"</f>
        <v>黎族</v>
      </c>
    </row>
    <row r="726" ht="30" customHeight="1" spans="1:6">
      <c r="A726" s="5">
        <v>724</v>
      </c>
      <c r="B726" s="5" t="str">
        <f>"36412022010708531090578"</f>
        <v>36412022010708531090578</v>
      </c>
      <c r="C726" s="5" t="s">
        <v>21</v>
      </c>
      <c r="D726" s="5" t="str">
        <f>"黄海雪"</f>
        <v>黄海雪</v>
      </c>
      <c r="E726" s="5" t="str">
        <f>"女"</f>
        <v>女</v>
      </c>
      <c r="F726" s="5" t="str">
        <f t="shared" ref="F726:F731" si="85">"汉族"</f>
        <v>汉族</v>
      </c>
    </row>
    <row r="727" ht="30" customHeight="1" spans="1:6">
      <c r="A727" s="5">
        <v>725</v>
      </c>
      <c r="B727" s="5" t="str">
        <f>"36412022010713115491522"</f>
        <v>36412022010713115491522</v>
      </c>
      <c r="C727" s="5" t="s">
        <v>21</v>
      </c>
      <c r="D727" s="5" t="str">
        <f>"王清霖"</f>
        <v>王清霖</v>
      </c>
      <c r="E727" s="5" t="str">
        <f>"男"</f>
        <v>男</v>
      </c>
      <c r="F727" s="5" t="str">
        <f t="shared" si="85"/>
        <v>汉族</v>
      </c>
    </row>
    <row r="728" ht="30" customHeight="1" spans="1:6">
      <c r="A728" s="5">
        <v>726</v>
      </c>
      <c r="B728" s="5" t="str">
        <f>"36412022010717064692350"</f>
        <v>36412022010717064692350</v>
      </c>
      <c r="C728" s="5" t="s">
        <v>21</v>
      </c>
      <c r="D728" s="5" t="str">
        <f>"吴清阳"</f>
        <v>吴清阳</v>
      </c>
      <c r="E728" s="5" t="str">
        <f>"男"</f>
        <v>男</v>
      </c>
      <c r="F728" s="5" t="str">
        <f t="shared" si="85"/>
        <v>汉族</v>
      </c>
    </row>
    <row r="729" ht="30" customHeight="1" spans="1:6">
      <c r="A729" s="5">
        <v>727</v>
      </c>
      <c r="B729" s="5" t="str">
        <f>"36412022010721495692887"</f>
        <v>36412022010721495692887</v>
      </c>
      <c r="C729" s="5" t="s">
        <v>21</v>
      </c>
      <c r="D729" s="5" t="str">
        <f>"胡良燕"</f>
        <v>胡良燕</v>
      </c>
      <c r="E729" s="5" t="str">
        <f>"女"</f>
        <v>女</v>
      </c>
      <c r="F729" s="5" t="str">
        <f t="shared" si="85"/>
        <v>汉族</v>
      </c>
    </row>
    <row r="730" ht="30" customHeight="1" spans="1:6">
      <c r="A730" s="5">
        <v>728</v>
      </c>
      <c r="B730" s="5" t="str">
        <f>"36412022010800021493046"</f>
        <v>36412022010800021493046</v>
      </c>
      <c r="C730" s="5" t="s">
        <v>21</v>
      </c>
      <c r="D730" s="5" t="str">
        <f>"王选明"</f>
        <v>王选明</v>
      </c>
      <c r="E730" s="5" t="str">
        <f>"男"</f>
        <v>男</v>
      </c>
      <c r="F730" s="5" t="str">
        <f t="shared" si="85"/>
        <v>汉族</v>
      </c>
    </row>
    <row r="731" ht="30" customHeight="1" spans="1:6">
      <c r="A731" s="5">
        <v>729</v>
      </c>
      <c r="B731" s="5" t="str">
        <f>"36412022010917294895689"</f>
        <v>36412022010917294895689</v>
      </c>
      <c r="C731" s="5" t="s">
        <v>21</v>
      </c>
      <c r="D731" s="5" t="str">
        <f>"覃逍志"</f>
        <v>覃逍志</v>
      </c>
      <c r="E731" s="5" t="str">
        <f>"男"</f>
        <v>男</v>
      </c>
      <c r="F731" s="5" t="str">
        <f t="shared" si="85"/>
        <v>汉族</v>
      </c>
    </row>
    <row r="732" ht="30" customHeight="1" spans="1:6">
      <c r="A732" s="5">
        <v>730</v>
      </c>
      <c r="B732" s="5" t="str">
        <f>"36412022010919583495853"</f>
        <v>36412022010919583495853</v>
      </c>
      <c r="C732" s="5" t="s">
        <v>21</v>
      </c>
      <c r="D732" s="5" t="str">
        <f>"陈真霞"</f>
        <v>陈真霞</v>
      </c>
      <c r="E732" s="5" t="str">
        <f>"女"</f>
        <v>女</v>
      </c>
      <c r="F732" s="5" t="str">
        <f>"黎族"</f>
        <v>黎族</v>
      </c>
    </row>
    <row r="733" ht="30" customHeight="1" spans="1:6">
      <c r="A733" s="5">
        <v>731</v>
      </c>
      <c r="B733" s="5" t="str">
        <f>"36412022010923385596235"</f>
        <v>36412022010923385596235</v>
      </c>
      <c r="C733" s="5" t="s">
        <v>21</v>
      </c>
      <c r="D733" s="5" t="str">
        <f>"谢佳辉"</f>
        <v>谢佳辉</v>
      </c>
      <c r="E733" s="5" t="str">
        <f>"男"</f>
        <v>男</v>
      </c>
      <c r="F733" s="5" t="str">
        <f>"汉族"</f>
        <v>汉族</v>
      </c>
    </row>
    <row r="734" ht="30" customHeight="1" spans="1:6">
      <c r="A734" s="5">
        <v>732</v>
      </c>
      <c r="B734" s="5" t="str">
        <f>"36412022011009215296469"</f>
        <v>36412022011009215296469</v>
      </c>
      <c r="C734" s="5" t="s">
        <v>21</v>
      </c>
      <c r="D734" s="5" t="str">
        <f>"邓华怡"</f>
        <v>邓华怡</v>
      </c>
      <c r="E734" s="5" t="str">
        <f t="shared" ref="E734:E756" si="86">"女"</f>
        <v>女</v>
      </c>
      <c r="F734" s="5" t="str">
        <f>"汉族"</f>
        <v>汉族</v>
      </c>
    </row>
    <row r="735" ht="30" customHeight="1" spans="1:6">
      <c r="A735" s="5">
        <v>733</v>
      </c>
      <c r="B735" s="5" t="str">
        <f>"36412021123109103269687"</f>
        <v>36412021123109103269687</v>
      </c>
      <c r="C735" s="5" t="s">
        <v>22</v>
      </c>
      <c r="D735" s="5" t="str">
        <f>"陈松玲"</f>
        <v>陈松玲</v>
      </c>
      <c r="E735" s="5" t="str">
        <f t="shared" si="86"/>
        <v>女</v>
      </c>
      <c r="F735" s="5" t="str">
        <f>"汉族"</f>
        <v>汉族</v>
      </c>
    </row>
    <row r="736" ht="30" customHeight="1" spans="1:6">
      <c r="A736" s="5">
        <v>734</v>
      </c>
      <c r="B736" s="5" t="str">
        <f>"36412021123110114769956"</f>
        <v>36412021123110114769956</v>
      </c>
      <c r="C736" s="5" t="s">
        <v>22</v>
      </c>
      <c r="D736" s="5" t="str">
        <f>"顾婷婷"</f>
        <v>顾婷婷</v>
      </c>
      <c r="E736" s="5" t="str">
        <f t="shared" si="86"/>
        <v>女</v>
      </c>
      <c r="F736" s="5" t="str">
        <f>"汉族"</f>
        <v>汉族</v>
      </c>
    </row>
    <row r="737" ht="30" customHeight="1" spans="1:6">
      <c r="A737" s="5">
        <v>735</v>
      </c>
      <c r="B737" s="5" t="str">
        <f>"36412021123110241470024"</f>
        <v>36412021123110241470024</v>
      </c>
      <c r="C737" s="5" t="s">
        <v>22</v>
      </c>
      <c r="D737" s="5" t="str">
        <f>"丁海波"</f>
        <v>丁海波</v>
      </c>
      <c r="E737" s="5" t="str">
        <f t="shared" si="86"/>
        <v>女</v>
      </c>
      <c r="F737" s="5" t="str">
        <f>"汉族"</f>
        <v>汉族</v>
      </c>
    </row>
    <row r="738" ht="30" customHeight="1" spans="1:6">
      <c r="A738" s="5">
        <v>736</v>
      </c>
      <c r="B738" s="5" t="str">
        <f>"36412021123110582270185"</f>
        <v>36412021123110582270185</v>
      </c>
      <c r="C738" s="5" t="s">
        <v>22</v>
      </c>
      <c r="D738" s="5" t="str">
        <f>"符文玉"</f>
        <v>符文玉</v>
      </c>
      <c r="E738" s="5" t="str">
        <f t="shared" si="86"/>
        <v>女</v>
      </c>
      <c r="F738" s="5" t="str">
        <f>"黎族"</f>
        <v>黎族</v>
      </c>
    </row>
    <row r="739" ht="30" customHeight="1" spans="1:6">
      <c r="A739" s="5">
        <v>737</v>
      </c>
      <c r="B739" s="5" t="str">
        <f>"36412021123111370670335"</f>
        <v>36412021123111370670335</v>
      </c>
      <c r="C739" s="5" t="s">
        <v>22</v>
      </c>
      <c r="D739" s="5" t="str">
        <f>"符芳敏"</f>
        <v>符芳敏</v>
      </c>
      <c r="E739" s="5" t="str">
        <f t="shared" si="86"/>
        <v>女</v>
      </c>
      <c r="F739" s="5" t="str">
        <f t="shared" ref="F739:F745" si="87">"汉族"</f>
        <v>汉族</v>
      </c>
    </row>
    <row r="740" ht="30" customHeight="1" spans="1:6">
      <c r="A740" s="5">
        <v>738</v>
      </c>
      <c r="B740" s="5" t="str">
        <f>"36412021123112412770489"</f>
        <v>36412021123112412770489</v>
      </c>
      <c r="C740" s="5" t="s">
        <v>22</v>
      </c>
      <c r="D740" s="5" t="str">
        <f>"初宇"</f>
        <v>初宇</v>
      </c>
      <c r="E740" s="5" t="str">
        <f t="shared" si="86"/>
        <v>女</v>
      </c>
      <c r="F740" s="5" t="str">
        <f t="shared" si="87"/>
        <v>汉族</v>
      </c>
    </row>
    <row r="741" ht="30" customHeight="1" spans="1:6">
      <c r="A741" s="5">
        <v>739</v>
      </c>
      <c r="B741" s="5" t="str">
        <f>"36412021123112444770499"</f>
        <v>36412021123112444770499</v>
      </c>
      <c r="C741" s="5" t="s">
        <v>22</v>
      </c>
      <c r="D741" s="5" t="str">
        <f>"姜叶"</f>
        <v>姜叶</v>
      </c>
      <c r="E741" s="5" t="str">
        <f t="shared" si="86"/>
        <v>女</v>
      </c>
      <c r="F741" s="5" t="str">
        <f t="shared" si="87"/>
        <v>汉族</v>
      </c>
    </row>
    <row r="742" ht="30" customHeight="1" spans="1:6">
      <c r="A742" s="5">
        <v>740</v>
      </c>
      <c r="B742" s="5" t="str">
        <f>"36412021123112590270529"</f>
        <v>36412021123112590270529</v>
      </c>
      <c r="C742" s="5" t="s">
        <v>22</v>
      </c>
      <c r="D742" s="5" t="str">
        <f>"何美玉"</f>
        <v>何美玉</v>
      </c>
      <c r="E742" s="5" t="str">
        <f t="shared" si="86"/>
        <v>女</v>
      </c>
      <c r="F742" s="5" t="str">
        <f t="shared" si="87"/>
        <v>汉族</v>
      </c>
    </row>
    <row r="743" ht="30" customHeight="1" spans="1:6">
      <c r="A743" s="5">
        <v>741</v>
      </c>
      <c r="B743" s="5" t="str">
        <f>"36412021123113183970583"</f>
        <v>36412021123113183970583</v>
      </c>
      <c r="C743" s="5" t="s">
        <v>22</v>
      </c>
      <c r="D743" s="5" t="str">
        <f>"黄英子"</f>
        <v>黄英子</v>
      </c>
      <c r="E743" s="5" t="str">
        <f t="shared" si="86"/>
        <v>女</v>
      </c>
      <c r="F743" s="5" t="str">
        <f t="shared" si="87"/>
        <v>汉族</v>
      </c>
    </row>
    <row r="744" ht="30" customHeight="1" spans="1:6">
      <c r="A744" s="5">
        <v>742</v>
      </c>
      <c r="B744" s="5" t="str">
        <f>"36412021123115065770834"</f>
        <v>36412021123115065770834</v>
      </c>
      <c r="C744" s="5" t="s">
        <v>22</v>
      </c>
      <c r="D744" s="5" t="str">
        <f>"文寒欢"</f>
        <v>文寒欢</v>
      </c>
      <c r="E744" s="5" t="str">
        <f t="shared" si="86"/>
        <v>女</v>
      </c>
      <c r="F744" s="5" t="str">
        <f t="shared" si="87"/>
        <v>汉族</v>
      </c>
    </row>
    <row r="745" ht="30" customHeight="1" spans="1:6">
      <c r="A745" s="5">
        <v>743</v>
      </c>
      <c r="B745" s="5" t="str">
        <f>"36412021123115175670861"</f>
        <v>36412021123115175670861</v>
      </c>
      <c r="C745" s="5" t="s">
        <v>22</v>
      </c>
      <c r="D745" s="5" t="str">
        <f>"杨妹妹"</f>
        <v>杨妹妹</v>
      </c>
      <c r="E745" s="5" t="str">
        <f t="shared" si="86"/>
        <v>女</v>
      </c>
      <c r="F745" s="5" t="str">
        <f t="shared" si="87"/>
        <v>汉族</v>
      </c>
    </row>
    <row r="746" ht="30" customHeight="1" spans="1:6">
      <c r="A746" s="5">
        <v>744</v>
      </c>
      <c r="B746" s="5" t="str">
        <f>"36412022010110175371547"</f>
        <v>36412022010110175371547</v>
      </c>
      <c r="C746" s="5" t="s">
        <v>22</v>
      </c>
      <c r="D746" s="5" t="str">
        <f>"黄雪婵"</f>
        <v>黄雪婵</v>
      </c>
      <c r="E746" s="5" t="str">
        <f t="shared" si="86"/>
        <v>女</v>
      </c>
      <c r="F746" s="5" t="str">
        <f>"壮族"</f>
        <v>壮族</v>
      </c>
    </row>
    <row r="747" ht="30" customHeight="1" spans="1:6">
      <c r="A747" s="5">
        <v>745</v>
      </c>
      <c r="B747" s="5" t="str">
        <f>"36412022010112240571709"</f>
        <v>36412022010112240571709</v>
      </c>
      <c r="C747" s="5" t="s">
        <v>22</v>
      </c>
      <c r="D747" s="5" t="str">
        <f>"陈小花"</f>
        <v>陈小花</v>
      </c>
      <c r="E747" s="5" t="str">
        <f t="shared" si="86"/>
        <v>女</v>
      </c>
      <c r="F747" s="5" t="str">
        <f>"汉族"</f>
        <v>汉族</v>
      </c>
    </row>
    <row r="748" ht="30" customHeight="1" spans="1:6">
      <c r="A748" s="5">
        <v>746</v>
      </c>
      <c r="B748" s="5" t="str">
        <f>"36412022010116560771998"</f>
        <v>36412022010116560771998</v>
      </c>
      <c r="C748" s="5" t="s">
        <v>22</v>
      </c>
      <c r="D748" s="5" t="str">
        <f>"谭纯妮"</f>
        <v>谭纯妮</v>
      </c>
      <c r="E748" s="5" t="str">
        <f t="shared" si="86"/>
        <v>女</v>
      </c>
      <c r="F748" s="5" t="str">
        <f>"汉族"</f>
        <v>汉族</v>
      </c>
    </row>
    <row r="749" ht="30" customHeight="1" spans="1:6">
      <c r="A749" s="5">
        <v>747</v>
      </c>
      <c r="B749" s="5" t="str">
        <f>"36412022010120041372164"</f>
        <v>36412022010120041372164</v>
      </c>
      <c r="C749" s="5" t="s">
        <v>22</v>
      </c>
      <c r="D749" s="5" t="str">
        <f>"李丽莹"</f>
        <v>李丽莹</v>
      </c>
      <c r="E749" s="5" t="str">
        <f t="shared" si="86"/>
        <v>女</v>
      </c>
      <c r="F749" s="5" t="str">
        <f>"汉族"</f>
        <v>汉族</v>
      </c>
    </row>
    <row r="750" ht="30" customHeight="1" spans="1:6">
      <c r="A750" s="5">
        <v>748</v>
      </c>
      <c r="B750" s="5" t="str">
        <f>"36412022010120524872208"</f>
        <v>36412022010120524872208</v>
      </c>
      <c r="C750" s="5" t="s">
        <v>22</v>
      </c>
      <c r="D750" s="5" t="str">
        <f>"朱晨怡"</f>
        <v>朱晨怡</v>
      </c>
      <c r="E750" s="5" t="str">
        <f t="shared" si="86"/>
        <v>女</v>
      </c>
      <c r="F750" s="5" t="str">
        <f>"壮族"</f>
        <v>壮族</v>
      </c>
    </row>
    <row r="751" ht="30" customHeight="1" spans="1:6">
      <c r="A751" s="5">
        <v>749</v>
      </c>
      <c r="B751" s="5" t="str">
        <f>"36412022010122365472324"</f>
        <v>36412022010122365472324</v>
      </c>
      <c r="C751" s="5" t="s">
        <v>22</v>
      </c>
      <c r="D751" s="5" t="str">
        <f>"王娜"</f>
        <v>王娜</v>
      </c>
      <c r="E751" s="5" t="str">
        <f t="shared" si="86"/>
        <v>女</v>
      </c>
      <c r="F751" s="5" t="str">
        <f>"汉族"</f>
        <v>汉族</v>
      </c>
    </row>
    <row r="752" ht="30" customHeight="1" spans="1:6">
      <c r="A752" s="5">
        <v>750</v>
      </c>
      <c r="B752" s="5" t="str">
        <f>"36412022010200131572384"</f>
        <v>36412022010200131572384</v>
      </c>
      <c r="C752" s="5" t="s">
        <v>22</v>
      </c>
      <c r="D752" s="5" t="str">
        <f>"邓永馨"</f>
        <v>邓永馨</v>
      </c>
      <c r="E752" s="5" t="str">
        <f t="shared" si="86"/>
        <v>女</v>
      </c>
      <c r="F752" s="5" t="str">
        <f>"汉族"</f>
        <v>汉族</v>
      </c>
    </row>
    <row r="753" ht="30" customHeight="1" spans="1:6">
      <c r="A753" s="5">
        <v>751</v>
      </c>
      <c r="B753" s="5" t="str">
        <f>"36412022010211121672601"</f>
        <v>36412022010211121672601</v>
      </c>
      <c r="C753" s="5" t="s">
        <v>22</v>
      </c>
      <c r="D753" s="5" t="str">
        <f>"温嘉慧"</f>
        <v>温嘉慧</v>
      </c>
      <c r="E753" s="5" t="str">
        <f t="shared" si="86"/>
        <v>女</v>
      </c>
      <c r="F753" s="5" t="str">
        <f>"汉族"</f>
        <v>汉族</v>
      </c>
    </row>
    <row r="754" ht="30" customHeight="1" spans="1:6">
      <c r="A754" s="5">
        <v>752</v>
      </c>
      <c r="B754" s="5" t="str">
        <f>"36412022010212482872745"</f>
        <v>36412022010212482872745</v>
      </c>
      <c r="C754" s="5" t="s">
        <v>22</v>
      </c>
      <c r="D754" s="5" t="str">
        <f>"王金玳"</f>
        <v>王金玳</v>
      </c>
      <c r="E754" s="5" t="str">
        <f t="shared" si="86"/>
        <v>女</v>
      </c>
      <c r="F754" s="5" t="str">
        <f>"汉族"</f>
        <v>汉族</v>
      </c>
    </row>
    <row r="755" ht="30" customHeight="1" spans="1:6">
      <c r="A755" s="5">
        <v>753</v>
      </c>
      <c r="B755" s="5" t="str">
        <f>"36412022010213045072757"</f>
        <v>36412022010213045072757</v>
      </c>
      <c r="C755" s="5" t="s">
        <v>22</v>
      </c>
      <c r="D755" s="5" t="str">
        <f>"陈婧"</f>
        <v>陈婧</v>
      </c>
      <c r="E755" s="5" t="str">
        <f t="shared" si="86"/>
        <v>女</v>
      </c>
      <c r="F755" s="5" t="str">
        <f>"汉族"</f>
        <v>汉族</v>
      </c>
    </row>
    <row r="756" ht="30" customHeight="1" spans="1:6">
      <c r="A756" s="5">
        <v>754</v>
      </c>
      <c r="B756" s="5" t="str">
        <f>"36412022010214090572844"</f>
        <v>36412022010214090572844</v>
      </c>
      <c r="C756" s="5" t="s">
        <v>22</v>
      </c>
      <c r="D756" s="5" t="str">
        <f>"苏小妹"</f>
        <v>苏小妹</v>
      </c>
      <c r="E756" s="5" t="str">
        <f t="shared" si="86"/>
        <v>女</v>
      </c>
      <c r="F756" s="5" t="str">
        <f>"黎族"</f>
        <v>黎族</v>
      </c>
    </row>
    <row r="757" ht="30" customHeight="1" spans="1:6">
      <c r="A757" s="5">
        <v>755</v>
      </c>
      <c r="B757" s="5" t="str">
        <f>"36412022010215284872930"</f>
        <v>36412022010215284872930</v>
      </c>
      <c r="C757" s="5" t="s">
        <v>22</v>
      </c>
      <c r="D757" s="5" t="str">
        <f>"符执豪"</f>
        <v>符执豪</v>
      </c>
      <c r="E757" s="5" t="str">
        <f>"男"</f>
        <v>男</v>
      </c>
      <c r="F757" s="5" t="str">
        <f t="shared" ref="F757:F780" si="88">"汉族"</f>
        <v>汉族</v>
      </c>
    </row>
    <row r="758" ht="30" customHeight="1" spans="1:6">
      <c r="A758" s="5">
        <v>756</v>
      </c>
      <c r="B758" s="5" t="str">
        <f>"36412022010220310273250"</f>
        <v>36412022010220310273250</v>
      </c>
      <c r="C758" s="5" t="s">
        <v>22</v>
      </c>
      <c r="D758" s="5" t="str">
        <f>"温淑岚"</f>
        <v>温淑岚</v>
      </c>
      <c r="E758" s="5" t="str">
        <f t="shared" ref="E758:E799" si="89">"女"</f>
        <v>女</v>
      </c>
      <c r="F758" s="5" t="str">
        <f t="shared" si="88"/>
        <v>汉族</v>
      </c>
    </row>
    <row r="759" ht="30" customHeight="1" spans="1:6">
      <c r="A759" s="5">
        <v>757</v>
      </c>
      <c r="B759" s="5" t="str">
        <f>"36412022010223244173422"</f>
        <v>36412022010223244173422</v>
      </c>
      <c r="C759" s="5" t="s">
        <v>22</v>
      </c>
      <c r="D759" s="5" t="str">
        <f>"蒋大波"</f>
        <v>蒋大波</v>
      </c>
      <c r="E759" s="5" t="str">
        <f t="shared" si="89"/>
        <v>女</v>
      </c>
      <c r="F759" s="5" t="str">
        <f t="shared" si="88"/>
        <v>汉族</v>
      </c>
    </row>
    <row r="760" ht="30" customHeight="1" spans="1:6">
      <c r="A760" s="5">
        <v>758</v>
      </c>
      <c r="B760" s="5" t="str">
        <f>"36412022010313580275081"</f>
        <v>36412022010313580275081</v>
      </c>
      <c r="C760" s="5" t="s">
        <v>22</v>
      </c>
      <c r="D760" s="5" t="str">
        <f>"朱柳芳"</f>
        <v>朱柳芳</v>
      </c>
      <c r="E760" s="5" t="str">
        <f t="shared" si="89"/>
        <v>女</v>
      </c>
      <c r="F760" s="5" t="str">
        <f t="shared" si="88"/>
        <v>汉族</v>
      </c>
    </row>
    <row r="761" ht="30" customHeight="1" spans="1:6">
      <c r="A761" s="5">
        <v>759</v>
      </c>
      <c r="B761" s="5" t="str">
        <f>"36412022010317475275887"</f>
        <v>36412022010317475275887</v>
      </c>
      <c r="C761" s="5" t="s">
        <v>22</v>
      </c>
      <c r="D761" s="5" t="str">
        <f>"陈雪琳"</f>
        <v>陈雪琳</v>
      </c>
      <c r="E761" s="5" t="str">
        <f t="shared" si="89"/>
        <v>女</v>
      </c>
      <c r="F761" s="5" t="str">
        <f t="shared" si="88"/>
        <v>汉族</v>
      </c>
    </row>
    <row r="762" ht="30" customHeight="1" spans="1:6">
      <c r="A762" s="5">
        <v>760</v>
      </c>
      <c r="B762" s="5" t="str">
        <f>"36412022010320034076319"</f>
        <v>36412022010320034076319</v>
      </c>
      <c r="C762" s="5" t="s">
        <v>22</v>
      </c>
      <c r="D762" s="5" t="str">
        <f>"关咏荷"</f>
        <v>关咏荷</v>
      </c>
      <c r="E762" s="5" t="str">
        <f t="shared" si="89"/>
        <v>女</v>
      </c>
      <c r="F762" s="5" t="str">
        <f t="shared" si="88"/>
        <v>汉族</v>
      </c>
    </row>
    <row r="763" ht="30" customHeight="1" spans="1:6">
      <c r="A763" s="5">
        <v>761</v>
      </c>
      <c r="B763" s="5" t="str">
        <f>"36412022010321211076559"</f>
        <v>36412022010321211076559</v>
      </c>
      <c r="C763" s="5" t="s">
        <v>22</v>
      </c>
      <c r="D763" s="5" t="str">
        <f>"符浪昕"</f>
        <v>符浪昕</v>
      </c>
      <c r="E763" s="5" t="str">
        <f t="shared" si="89"/>
        <v>女</v>
      </c>
      <c r="F763" s="5" t="str">
        <f t="shared" si="88"/>
        <v>汉族</v>
      </c>
    </row>
    <row r="764" ht="30" customHeight="1" spans="1:6">
      <c r="A764" s="5">
        <v>762</v>
      </c>
      <c r="B764" s="5" t="str">
        <f>"36412022010322022976694"</f>
        <v>36412022010322022976694</v>
      </c>
      <c r="C764" s="5" t="s">
        <v>22</v>
      </c>
      <c r="D764" s="5" t="str">
        <f>"欧阳静雅"</f>
        <v>欧阳静雅</v>
      </c>
      <c r="E764" s="5" t="str">
        <f t="shared" si="89"/>
        <v>女</v>
      </c>
      <c r="F764" s="5" t="str">
        <f t="shared" si="88"/>
        <v>汉族</v>
      </c>
    </row>
    <row r="765" ht="30" customHeight="1" spans="1:6">
      <c r="A765" s="5">
        <v>763</v>
      </c>
      <c r="B765" s="5" t="str">
        <f>"36412022010408504977321"</f>
        <v>36412022010408504977321</v>
      </c>
      <c r="C765" s="5" t="s">
        <v>22</v>
      </c>
      <c r="D765" s="5" t="str">
        <f>"王雨婷"</f>
        <v>王雨婷</v>
      </c>
      <c r="E765" s="5" t="str">
        <f t="shared" si="89"/>
        <v>女</v>
      </c>
      <c r="F765" s="5" t="str">
        <f t="shared" si="88"/>
        <v>汉族</v>
      </c>
    </row>
    <row r="766" ht="30" customHeight="1" spans="1:6">
      <c r="A766" s="5">
        <v>764</v>
      </c>
      <c r="B766" s="5" t="str">
        <f>"36412022010410014877917"</f>
        <v>36412022010410014877917</v>
      </c>
      <c r="C766" s="5" t="s">
        <v>22</v>
      </c>
      <c r="D766" s="5" t="str">
        <f>"吴海燕"</f>
        <v>吴海燕</v>
      </c>
      <c r="E766" s="5" t="str">
        <f t="shared" si="89"/>
        <v>女</v>
      </c>
      <c r="F766" s="5" t="str">
        <f t="shared" si="88"/>
        <v>汉族</v>
      </c>
    </row>
    <row r="767" ht="30" customHeight="1" spans="1:6">
      <c r="A767" s="5">
        <v>765</v>
      </c>
      <c r="B767" s="5" t="str">
        <f>"36412022010410374778245"</f>
        <v>36412022010410374778245</v>
      </c>
      <c r="C767" s="5" t="s">
        <v>22</v>
      </c>
      <c r="D767" s="5" t="str">
        <f>"陈美焕"</f>
        <v>陈美焕</v>
      </c>
      <c r="E767" s="5" t="str">
        <f t="shared" si="89"/>
        <v>女</v>
      </c>
      <c r="F767" s="5" t="str">
        <f t="shared" si="88"/>
        <v>汉族</v>
      </c>
    </row>
    <row r="768" ht="30" customHeight="1" spans="1:6">
      <c r="A768" s="5">
        <v>766</v>
      </c>
      <c r="B768" s="5" t="str">
        <f>"36412022010411104478526"</f>
        <v>36412022010411104478526</v>
      </c>
      <c r="C768" s="5" t="s">
        <v>22</v>
      </c>
      <c r="D768" s="5" t="str">
        <f>"陈珊珊"</f>
        <v>陈珊珊</v>
      </c>
      <c r="E768" s="5" t="str">
        <f t="shared" si="89"/>
        <v>女</v>
      </c>
      <c r="F768" s="5" t="str">
        <f t="shared" si="88"/>
        <v>汉族</v>
      </c>
    </row>
    <row r="769" ht="30" customHeight="1" spans="1:6">
      <c r="A769" s="5">
        <v>767</v>
      </c>
      <c r="B769" s="5" t="str">
        <f>"36412022010411243178652"</f>
        <v>36412022010411243178652</v>
      </c>
      <c r="C769" s="5" t="s">
        <v>22</v>
      </c>
      <c r="D769" s="5" t="str">
        <f>"王雪丹"</f>
        <v>王雪丹</v>
      </c>
      <c r="E769" s="5" t="str">
        <f t="shared" si="89"/>
        <v>女</v>
      </c>
      <c r="F769" s="5" t="str">
        <f t="shared" si="88"/>
        <v>汉族</v>
      </c>
    </row>
    <row r="770" ht="30" customHeight="1" spans="1:6">
      <c r="A770" s="5">
        <v>768</v>
      </c>
      <c r="B770" s="5" t="str">
        <f>"36412022010411301278697"</f>
        <v>36412022010411301278697</v>
      </c>
      <c r="C770" s="5" t="s">
        <v>22</v>
      </c>
      <c r="D770" s="5" t="str">
        <f>"符丽萍"</f>
        <v>符丽萍</v>
      </c>
      <c r="E770" s="5" t="str">
        <f t="shared" si="89"/>
        <v>女</v>
      </c>
      <c r="F770" s="5" t="str">
        <f t="shared" si="88"/>
        <v>汉族</v>
      </c>
    </row>
    <row r="771" ht="30" customHeight="1" spans="1:6">
      <c r="A771" s="5">
        <v>769</v>
      </c>
      <c r="B771" s="5" t="str">
        <f>"36412022010411361378741"</f>
        <v>36412022010411361378741</v>
      </c>
      <c r="C771" s="5" t="s">
        <v>22</v>
      </c>
      <c r="D771" s="5" t="str">
        <f>"符小飞"</f>
        <v>符小飞</v>
      </c>
      <c r="E771" s="5" t="str">
        <f t="shared" si="89"/>
        <v>女</v>
      </c>
      <c r="F771" s="5" t="str">
        <f t="shared" si="88"/>
        <v>汉族</v>
      </c>
    </row>
    <row r="772" ht="30" customHeight="1" spans="1:6">
      <c r="A772" s="5">
        <v>770</v>
      </c>
      <c r="B772" s="5" t="str">
        <f>"36412022010417060780459"</f>
        <v>36412022010417060780459</v>
      </c>
      <c r="C772" s="5" t="s">
        <v>22</v>
      </c>
      <c r="D772" s="5" t="str">
        <f>"吴小娟"</f>
        <v>吴小娟</v>
      </c>
      <c r="E772" s="5" t="str">
        <f t="shared" si="89"/>
        <v>女</v>
      </c>
      <c r="F772" s="5" t="str">
        <f t="shared" si="88"/>
        <v>汉族</v>
      </c>
    </row>
    <row r="773" ht="30" customHeight="1" spans="1:6">
      <c r="A773" s="5">
        <v>771</v>
      </c>
      <c r="B773" s="5" t="str">
        <f>"36412022010419374181159"</f>
        <v>36412022010419374181159</v>
      </c>
      <c r="C773" s="5" t="s">
        <v>22</v>
      </c>
      <c r="D773" s="5" t="str">
        <f>"吴多珍"</f>
        <v>吴多珍</v>
      </c>
      <c r="E773" s="5" t="str">
        <f t="shared" si="89"/>
        <v>女</v>
      </c>
      <c r="F773" s="5" t="str">
        <f t="shared" si="88"/>
        <v>汉族</v>
      </c>
    </row>
    <row r="774" ht="30" customHeight="1" spans="1:6">
      <c r="A774" s="5">
        <v>772</v>
      </c>
      <c r="B774" s="5" t="str">
        <f>"36412022010421445181778"</f>
        <v>36412022010421445181778</v>
      </c>
      <c r="C774" s="5" t="s">
        <v>22</v>
      </c>
      <c r="D774" s="5" t="str">
        <f>"郑义艳"</f>
        <v>郑义艳</v>
      </c>
      <c r="E774" s="5" t="str">
        <f t="shared" si="89"/>
        <v>女</v>
      </c>
      <c r="F774" s="5" t="str">
        <f t="shared" si="88"/>
        <v>汉族</v>
      </c>
    </row>
    <row r="775" ht="30" customHeight="1" spans="1:6">
      <c r="A775" s="5">
        <v>773</v>
      </c>
      <c r="B775" s="5" t="str">
        <f>"36412022010422152081909"</f>
        <v>36412022010422152081909</v>
      </c>
      <c r="C775" s="5" t="s">
        <v>22</v>
      </c>
      <c r="D775" s="5" t="str">
        <f>"杨金妹"</f>
        <v>杨金妹</v>
      </c>
      <c r="E775" s="5" t="str">
        <f t="shared" si="89"/>
        <v>女</v>
      </c>
      <c r="F775" s="5" t="str">
        <f t="shared" si="88"/>
        <v>汉族</v>
      </c>
    </row>
    <row r="776" ht="30" customHeight="1" spans="1:6">
      <c r="A776" s="5">
        <v>774</v>
      </c>
      <c r="B776" s="5" t="str">
        <f>"36412022010422522982043"</f>
        <v>36412022010422522982043</v>
      </c>
      <c r="C776" s="5" t="s">
        <v>22</v>
      </c>
      <c r="D776" s="5" t="str">
        <f>"许林尾"</f>
        <v>许林尾</v>
      </c>
      <c r="E776" s="5" t="str">
        <f t="shared" si="89"/>
        <v>女</v>
      </c>
      <c r="F776" s="5" t="str">
        <f t="shared" si="88"/>
        <v>汉族</v>
      </c>
    </row>
    <row r="777" ht="30" customHeight="1" spans="1:6">
      <c r="A777" s="5">
        <v>775</v>
      </c>
      <c r="B777" s="5" t="str">
        <f>"36412022010510241583004"</f>
        <v>36412022010510241583004</v>
      </c>
      <c r="C777" s="5" t="s">
        <v>22</v>
      </c>
      <c r="D777" s="5" t="str">
        <f>"杨忠燕"</f>
        <v>杨忠燕</v>
      </c>
      <c r="E777" s="5" t="str">
        <f t="shared" si="89"/>
        <v>女</v>
      </c>
      <c r="F777" s="5" t="str">
        <f t="shared" si="88"/>
        <v>汉族</v>
      </c>
    </row>
    <row r="778" ht="30" customHeight="1" spans="1:6">
      <c r="A778" s="5">
        <v>776</v>
      </c>
      <c r="B778" s="5" t="str">
        <f>"36412022010510402183115"</f>
        <v>36412022010510402183115</v>
      </c>
      <c r="C778" s="5" t="s">
        <v>22</v>
      </c>
      <c r="D778" s="5" t="str">
        <f>"李祝秀"</f>
        <v>李祝秀</v>
      </c>
      <c r="E778" s="5" t="str">
        <f t="shared" si="89"/>
        <v>女</v>
      </c>
      <c r="F778" s="5" t="str">
        <f t="shared" si="88"/>
        <v>汉族</v>
      </c>
    </row>
    <row r="779" ht="30" customHeight="1" spans="1:6">
      <c r="A779" s="5">
        <v>777</v>
      </c>
      <c r="B779" s="5" t="str">
        <f>"36412022010510413083124"</f>
        <v>36412022010510413083124</v>
      </c>
      <c r="C779" s="5" t="s">
        <v>22</v>
      </c>
      <c r="D779" s="5" t="str">
        <f>"陈秀萍"</f>
        <v>陈秀萍</v>
      </c>
      <c r="E779" s="5" t="str">
        <f t="shared" si="89"/>
        <v>女</v>
      </c>
      <c r="F779" s="5" t="str">
        <f t="shared" si="88"/>
        <v>汉族</v>
      </c>
    </row>
    <row r="780" ht="30" customHeight="1" spans="1:6">
      <c r="A780" s="5">
        <v>778</v>
      </c>
      <c r="B780" s="5" t="str">
        <f>"36412022010517464985301"</f>
        <v>36412022010517464985301</v>
      </c>
      <c r="C780" s="5" t="s">
        <v>22</v>
      </c>
      <c r="D780" s="5" t="str">
        <f>"符礼娜"</f>
        <v>符礼娜</v>
      </c>
      <c r="E780" s="5" t="str">
        <f t="shared" si="89"/>
        <v>女</v>
      </c>
      <c r="F780" s="5" t="str">
        <f t="shared" si="88"/>
        <v>汉族</v>
      </c>
    </row>
    <row r="781" ht="30" customHeight="1" spans="1:6">
      <c r="A781" s="5">
        <v>779</v>
      </c>
      <c r="B781" s="5" t="str">
        <f>"36412022010519074485573"</f>
        <v>36412022010519074485573</v>
      </c>
      <c r="C781" s="5" t="s">
        <v>22</v>
      </c>
      <c r="D781" s="5" t="str">
        <f>"徐思凌"</f>
        <v>徐思凌</v>
      </c>
      <c r="E781" s="5" t="str">
        <f t="shared" si="89"/>
        <v>女</v>
      </c>
      <c r="F781" s="5" t="str">
        <f>"黎族"</f>
        <v>黎族</v>
      </c>
    </row>
    <row r="782" ht="30" customHeight="1" spans="1:6">
      <c r="A782" s="5">
        <v>780</v>
      </c>
      <c r="B782" s="5" t="str">
        <f>"36412022010521531186349"</f>
        <v>36412022010521531186349</v>
      </c>
      <c r="C782" s="5" t="s">
        <v>22</v>
      </c>
      <c r="D782" s="5" t="str">
        <f>"温小曼"</f>
        <v>温小曼</v>
      </c>
      <c r="E782" s="5" t="str">
        <f t="shared" si="89"/>
        <v>女</v>
      </c>
      <c r="F782" s="5" t="str">
        <f>"汉族"</f>
        <v>汉族</v>
      </c>
    </row>
    <row r="783" ht="30" customHeight="1" spans="1:6">
      <c r="A783" s="5">
        <v>781</v>
      </c>
      <c r="B783" s="5" t="str">
        <f>"36412022010522030386382"</f>
        <v>36412022010522030386382</v>
      </c>
      <c r="C783" s="5" t="s">
        <v>22</v>
      </c>
      <c r="D783" s="5" t="str">
        <f>"许琳美"</f>
        <v>许琳美</v>
      </c>
      <c r="E783" s="5" t="str">
        <f t="shared" si="89"/>
        <v>女</v>
      </c>
      <c r="F783" s="5" t="str">
        <f>"汉族"</f>
        <v>汉族</v>
      </c>
    </row>
    <row r="784" ht="30" customHeight="1" spans="1:6">
      <c r="A784" s="5">
        <v>782</v>
      </c>
      <c r="B784" s="5" t="str">
        <f>"36412022010522572086570"</f>
        <v>36412022010522572086570</v>
      </c>
      <c r="C784" s="5" t="s">
        <v>22</v>
      </c>
      <c r="D784" s="5" t="str">
        <f>"谢丽雯"</f>
        <v>谢丽雯</v>
      </c>
      <c r="E784" s="5" t="str">
        <f t="shared" si="89"/>
        <v>女</v>
      </c>
      <c r="F784" s="5" t="str">
        <f>"黎族"</f>
        <v>黎族</v>
      </c>
    </row>
    <row r="785" ht="30" customHeight="1" spans="1:6">
      <c r="A785" s="5">
        <v>783</v>
      </c>
      <c r="B785" s="5" t="str">
        <f>"36412022010616152088826"</f>
        <v>36412022010616152088826</v>
      </c>
      <c r="C785" s="5" t="s">
        <v>22</v>
      </c>
      <c r="D785" s="5" t="str">
        <f>"陈小妹"</f>
        <v>陈小妹</v>
      </c>
      <c r="E785" s="5" t="str">
        <f t="shared" si="89"/>
        <v>女</v>
      </c>
      <c r="F785" s="5" t="str">
        <f>"汉族"</f>
        <v>汉族</v>
      </c>
    </row>
    <row r="786" ht="30" customHeight="1" spans="1:6">
      <c r="A786" s="5">
        <v>784</v>
      </c>
      <c r="B786" s="5" t="str">
        <f>"36412022010616440588967"</f>
        <v>36412022010616440588967</v>
      </c>
      <c r="C786" s="5" t="s">
        <v>22</v>
      </c>
      <c r="D786" s="5" t="str">
        <f>"符嫦娴"</f>
        <v>符嫦娴</v>
      </c>
      <c r="E786" s="5" t="str">
        <f t="shared" si="89"/>
        <v>女</v>
      </c>
      <c r="F786" s="5" t="str">
        <f>"黎族"</f>
        <v>黎族</v>
      </c>
    </row>
    <row r="787" ht="30" customHeight="1" spans="1:6">
      <c r="A787" s="5">
        <v>785</v>
      </c>
      <c r="B787" s="5" t="str">
        <f>"36412022010618200889300"</f>
        <v>36412022010618200889300</v>
      </c>
      <c r="C787" s="5" t="s">
        <v>22</v>
      </c>
      <c r="D787" s="5" t="str">
        <f>"王秋萍"</f>
        <v>王秋萍</v>
      </c>
      <c r="E787" s="5" t="str">
        <f t="shared" si="89"/>
        <v>女</v>
      </c>
      <c r="F787" s="5" t="str">
        <f>"汉族"</f>
        <v>汉族</v>
      </c>
    </row>
    <row r="788" ht="30" customHeight="1" spans="1:6">
      <c r="A788" s="5">
        <v>786</v>
      </c>
      <c r="B788" s="5" t="str">
        <f>"36412022010709495290738"</f>
        <v>36412022010709495290738</v>
      </c>
      <c r="C788" s="5" t="s">
        <v>22</v>
      </c>
      <c r="D788" s="5" t="str">
        <f>"徐文玲"</f>
        <v>徐文玲</v>
      </c>
      <c r="E788" s="5" t="str">
        <f t="shared" si="89"/>
        <v>女</v>
      </c>
      <c r="F788" s="5" t="str">
        <f>"汉族"</f>
        <v>汉族</v>
      </c>
    </row>
    <row r="789" ht="30" customHeight="1" spans="1:6">
      <c r="A789" s="5">
        <v>787</v>
      </c>
      <c r="B789" s="5" t="str">
        <f>"36412022010713313291579"</f>
        <v>36412022010713313291579</v>
      </c>
      <c r="C789" s="5" t="s">
        <v>22</v>
      </c>
      <c r="D789" s="5" t="str">
        <f>"蔡汝娜"</f>
        <v>蔡汝娜</v>
      </c>
      <c r="E789" s="5" t="str">
        <f t="shared" si="89"/>
        <v>女</v>
      </c>
      <c r="F789" s="5" t="str">
        <f>"汉族"</f>
        <v>汉族</v>
      </c>
    </row>
    <row r="790" ht="30" customHeight="1" spans="1:6">
      <c r="A790" s="5">
        <v>788</v>
      </c>
      <c r="B790" s="5" t="str">
        <f>"36412022010716183292183"</f>
        <v>36412022010716183292183</v>
      </c>
      <c r="C790" s="5" t="s">
        <v>22</v>
      </c>
      <c r="D790" s="5" t="str">
        <f>"陈逸荞"</f>
        <v>陈逸荞</v>
      </c>
      <c r="E790" s="5" t="str">
        <f t="shared" si="89"/>
        <v>女</v>
      </c>
      <c r="F790" s="5" t="str">
        <f>"汉族"</f>
        <v>汉族</v>
      </c>
    </row>
    <row r="791" ht="30" customHeight="1" spans="1:6">
      <c r="A791" s="5">
        <v>789</v>
      </c>
      <c r="B791" s="5" t="str">
        <f>"36412022010809154393137"</f>
        <v>36412022010809154393137</v>
      </c>
      <c r="C791" s="5" t="s">
        <v>22</v>
      </c>
      <c r="D791" s="5" t="str">
        <f>"李小芳"</f>
        <v>李小芳</v>
      </c>
      <c r="E791" s="5" t="str">
        <f t="shared" si="89"/>
        <v>女</v>
      </c>
      <c r="F791" s="5" t="str">
        <f>"苗族"</f>
        <v>苗族</v>
      </c>
    </row>
    <row r="792" ht="30" customHeight="1" spans="1:6">
      <c r="A792" s="5">
        <v>790</v>
      </c>
      <c r="B792" s="5" t="str">
        <f>"36412022010813353493459"</f>
        <v>36412022010813353493459</v>
      </c>
      <c r="C792" s="5" t="s">
        <v>22</v>
      </c>
      <c r="D792" s="5" t="str">
        <f>"王小莉"</f>
        <v>王小莉</v>
      </c>
      <c r="E792" s="5" t="str">
        <f t="shared" si="89"/>
        <v>女</v>
      </c>
      <c r="F792" s="5" t="str">
        <f>"黎族"</f>
        <v>黎族</v>
      </c>
    </row>
    <row r="793" ht="30" customHeight="1" spans="1:6">
      <c r="A793" s="5">
        <v>791</v>
      </c>
      <c r="B793" s="5" t="str">
        <f>"36412022010815382493640"</f>
        <v>36412022010815382493640</v>
      </c>
      <c r="C793" s="5" t="s">
        <v>22</v>
      </c>
      <c r="D793" s="5" t="str">
        <f>"黄小红"</f>
        <v>黄小红</v>
      </c>
      <c r="E793" s="5" t="str">
        <f t="shared" si="89"/>
        <v>女</v>
      </c>
      <c r="F793" s="5" t="str">
        <f>"汉族"</f>
        <v>汉族</v>
      </c>
    </row>
    <row r="794" ht="30" customHeight="1" spans="1:6">
      <c r="A794" s="5">
        <v>792</v>
      </c>
      <c r="B794" s="5" t="str">
        <f>"36412022010816202193711"</f>
        <v>36412022010816202193711</v>
      </c>
      <c r="C794" s="5" t="s">
        <v>22</v>
      </c>
      <c r="D794" s="5" t="str">
        <f>"詹怡菲"</f>
        <v>詹怡菲</v>
      </c>
      <c r="E794" s="5" t="str">
        <f t="shared" si="89"/>
        <v>女</v>
      </c>
      <c r="F794" s="5" t="str">
        <f>"汉族"</f>
        <v>汉族</v>
      </c>
    </row>
    <row r="795" ht="30" customHeight="1" spans="1:6">
      <c r="A795" s="5">
        <v>793</v>
      </c>
      <c r="B795" s="5" t="str">
        <f>"36412022010911290294947"</f>
        <v>36412022010911290294947</v>
      </c>
      <c r="C795" s="5" t="s">
        <v>22</v>
      </c>
      <c r="D795" s="5" t="str">
        <f>"许倩媛"</f>
        <v>许倩媛</v>
      </c>
      <c r="E795" s="5" t="str">
        <f t="shared" si="89"/>
        <v>女</v>
      </c>
      <c r="F795" s="5" t="str">
        <f>"汉族"</f>
        <v>汉族</v>
      </c>
    </row>
    <row r="796" ht="30" customHeight="1" spans="1:6">
      <c r="A796" s="5">
        <v>794</v>
      </c>
      <c r="B796" s="5" t="str">
        <f>"36412022010922212596119"</f>
        <v>36412022010922212596119</v>
      </c>
      <c r="C796" s="5" t="s">
        <v>22</v>
      </c>
      <c r="D796" s="5" t="str">
        <f>"张薇"</f>
        <v>张薇</v>
      </c>
      <c r="E796" s="5" t="str">
        <f t="shared" si="89"/>
        <v>女</v>
      </c>
      <c r="F796" s="5" t="str">
        <f>"汉族"</f>
        <v>汉族</v>
      </c>
    </row>
    <row r="797" ht="30" customHeight="1" spans="1:6">
      <c r="A797" s="5">
        <v>795</v>
      </c>
      <c r="B797" s="5" t="str">
        <f>"36412022010922252396131"</f>
        <v>36412022010922252396131</v>
      </c>
      <c r="C797" s="5" t="s">
        <v>22</v>
      </c>
      <c r="D797" s="5" t="str">
        <f>"艾慧星"</f>
        <v>艾慧星</v>
      </c>
      <c r="E797" s="5" t="str">
        <f t="shared" si="89"/>
        <v>女</v>
      </c>
      <c r="F797" s="5" t="str">
        <f>"汉族"</f>
        <v>汉族</v>
      </c>
    </row>
    <row r="798" ht="30" customHeight="1" spans="1:6">
      <c r="A798" s="5">
        <v>796</v>
      </c>
      <c r="B798" s="5" t="str">
        <f>"36412022011008295296363"</f>
        <v>36412022011008295296363</v>
      </c>
      <c r="C798" s="5" t="s">
        <v>22</v>
      </c>
      <c r="D798" s="5" t="str">
        <f>"符晓玉"</f>
        <v>符晓玉</v>
      </c>
      <c r="E798" s="5" t="str">
        <f t="shared" si="89"/>
        <v>女</v>
      </c>
      <c r="F798" s="5" t="str">
        <f>"黎族"</f>
        <v>黎族</v>
      </c>
    </row>
    <row r="799" ht="30" customHeight="1" spans="1:6">
      <c r="A799" s="5">
        <v>797</v>
      </c>
      <c r="B799" s="5" t="str">
        <f>"36412022011009442296531"</f>
        <v>36412022011009442296531</v>
      </c>
      <c r="C799" s="5" t="s">
        <v>22</v>
      </c>
      <c r="D799" s="5" t="str">
        <f>"苏天玉"</f>
        <v>苏天玉</v>
      </c>
      <c r="E799" s="5" t="str">
        <f t="shared" si="89"/>
        <v>女</v>
      </c>
      <c r="F799" s="5" t="str">
        <f>"黎族"</f>
        <v>黎族</v>
      </c>
    </row>
    <row r="800" ht="30" customHeight="1" spans="1:6">
      <c r="A800" s="5">
        <v>798</v>
      </c>
      <c r="B800" s="5" t="str">
        <f>"36412021123109390469801"</f>
        <v>36412021123109390469801</v>
      </c>
      <c r="C800" s="5" t="s">
        <v>23</v>
      </c>
      <c r="D800" s="5" t="str">
        <f>"史克壮"</f>
        <v>史克壮</v>
      </c>
      <c r="E800" s="5" t="str">
        <f>"男"</f>
        <v>男</v>
      </c>
      <c r="F800" s="5" t="str">
        <f>"汉族"</f>
        <v>汉族</v>
      </c>
    </row>
    <row r="801" ht="30" customHeight="1" spans="1:6">
      <c r="A801" s="5">
        <v>799</v>
      </c>
      <c r="B801" s="5" t="str">
        <f>"36412021123109404269810"</f>
        <v>36412021123109404269810</v>
      </c>
      <c r="C801" s="5" t="s">
        <v>23</v>
      </c>
      <c r="D801" s="5" t="str">
        <f>"吉家岛"</f>
        <v>吉家岛</v>
      </c>
      <c r="E801" s="5" t="str">
        <f>"男"</f>
        <v>男</v>
      </c>
      <c r="F801" s="5" t="str">
        <f>"黎族"</f>
        <v>黎族</v>
      </c>
    </row>
    <row r="802" ht="30" customHeight="1" spans="1:6">
      <c r="A802" s="5">
        <v>800</v>
      </c>
      <c r="B802" s="5" t="str">
        <f>"36412021123109502469850"</f>
        <v>36412021123109502469850</v>
      </c>
      <c r="C802" s="5" t="s">
        <v>23</v>
      </c>
      <c r="D802" s="5" t="str">
        <f>"高睿玉"</f>
        <v>高睿玉</v>
      </c>
      <c r="E802" s="5" t="str">
        <f t="shared" ref="E802:E829" si="90">"女"</f>
        <v>女</v>
      </c>
      <c r="F802" s="5" t="str">
        <f>"汉族"</f>
        <v>汉族</v>
      </c>
    </row>
    <row r="803" ht="30" customHeight="1" spans="1:6">
      <c r="A803" s="5">
        <v>801</v>
      </c>
      <c r="B803" s="5" t="str">
        <f>"36412021123110192169996"</f>
        <v>36412021123110192169996</v>
      </c>
      <c r="C803" s="5" t="s">
        <v>23</v>
      </c>
      <c r="D803" s="5" t="str">
        <f>"詹艳艳"</f>
        <v>詹艳艳</v>
      </c>
      <c r="E803" s="5" t="str">
        <f t="shared" si="90"/>
        <v>女</v>
      </c>
      <c r="F803" s="5" t="str">
        <f>"汉族"</f>
        <v>汉族</v>
      </c>
    </row>
    <row r="804" ht="30" customHeight="1" spans="1:6">
      <c r="A804" s="5">
        <v>802</v>
      </c>
      <c r="B804" s="5" t="str">
        <f>"36412021123111215470284"</f>
        <v>36412021123111215470284</v>
      </c>
      <c r="C804" s="5" t="s">
        <v>23</v>
      </c>
      <c r="D804" s="5" t="str">
        <f>"陆林婷"</f>
        <v>陆林婷</v>
      </c>
      <c r="E804" s="5" t="str">
        <f t="shared" si="90"/>
        <v>女</v>
      </c>
      <c r="F804" s="5" t="str">
        <f>"汉族"</f>
        <v>汉族</v>
      </c>
    </row>
    <row r="805" ht="30" customHeight="1" spans="1:6">
      <c r="A805" s="5">
        <v>803</v>
      </c>
      <c r="B805" s="5" t="str">
        <f>"36412021123111432370354"</f>
        <v>36412021123111432370354</v>
      </c>
      <c r="C805" s="5" t="s">
        <v>23</v>
      </c>
      <c r="D805" s="5" t="str">
        <f>"胡倩倩"</f>
        <v>胡倩倩</v>
      </c>
      <c r="E805" s="5" t="str">
        <f t="shared" si="90"/>
        <v>女</v>
      </c>
      <c r="F805" s="5" t="str">
        <f>"汉族"</f>
        <v>汉族</v>
      </c>
    </row>
    <row r="806" ht="30" customHeight="1" spans="1:6">
      <c r="A806" s="5">
        <v>804</v>
      </c>
      <c r="B806" s="5" t="str">
        <f>"36412021123114514870798"</f>
        <v>36412021123114514870798</v>
      </c>
      <c r="C806" s="5" t="s">
        <v>23</v>
      </c>
      <c r="D806" s="5" t="str">
        <f>"黄文珏"</f>
        <v>黄文珏</v>
      </c>
      <c r="E806" s="5" t="str">
        <f t="shared" si="90"/>
        <v>女</v>
      </c>
      <c r="F806" s="5" t="str">
        <f>"黎族"</f>
        <v>黎族</v>
      </c>
    </row>
    <row r="807" ht="30" customHeight="1" spans="1:6">
      <c r="A807" s="5">
        <v>805</v>
      </c>
      <c r="B807" s="5" t="str">
        <f>"36412021123116352971038"</f>
        <v>36412021123116352971038</v>
      </c>
      <c r="C807" s="5" t="s">
        <v>23</v>
      </c>
      <c r="D807" s="5" t="str">
        <f>"王茜"</f>
        <v>王茜</v>
      </c>
      <c r="E807" s="5" t="str">
        <f t="shared" si="90"/>
        <v>女</v>
      </c>
      <c r="F807" s="5" t="str">
        <f>"汉族"</f>
        <v>汉族</v>
      </c>
    </row>
    <row r="808" ht="30" customHeight="1" spans="1:6">
      <c r="A808" s="5">
        <v>806</v>
      </c>
      <c r="B808" s="5" t="str">
        <f>"36412021123117034871102"</f>
        <v>36412021123117034871102</v>
      </c>
      <c r="C808" s="5" t="s">
        <v>23</v>
      </c>
      <c r="D808" s="5" t="str">
        <f>"黄奕琳"</f>
        <v>黄奕琳</v>
      </c>
      <c r="E808" s="5" t="str">
        <f t="shared" si="90"/>
        <v>女</v>
      </c>
      <c r="F808" s="5" t="str">
        <f>"汉族"</f>
        <v>汉族</v>
      </c>
    </row>
    <row r="809" ht="30" customHeight="1" spans="1:6">
      <c r="A809" s="5">
        <v>807</v>
      </c>
      <c r="B809" s="5" t="str">
        <f>"36412021123123151871385"</f>
        <v>36412021123123151871385</v>
      </c>
      <c r="C809" s="5" t="s">
        <v>23</v>
      </c>
      <c r="D809" s="5" t="str">
        <f>"黄舒婷"</f>
        <v>黄舒婷</v>
      </c>
      <c r="E809" s="5" t="str">
        <f t="shared" si="90"/>
        <v>女</v>
      </c>
      <c r="F809" s="5" t="str">
        <f>"汉族"</f>
        <v>汉族</v>
      </c>
    </row>
    <row r="810" ht="30" customHeight="1" spans="1:6">
      <c r="A810" s="5">
        <v>808</v>
      </c>
      <c r="B810" s="5" t="str">
        <f>"36412022010122030472291"</f>
        <v>36412022010122030472291</v>
      </c>
      <c r="C810" s="5" t="s">
        <v>23</v>
      </c>
      <c r="D810" s="5" t="str">
        <f>"王杏"</f>
        <v>王杏</v>
      </c>
      <c r="E810" s="5" t="str">
        <f t="shared" si="90"/>
        <v>女</v>
      </c>
      <c r="F810" s="5" t="str">
        <f>"汉族"</f>
        <v>汉族</v>
      </c>
    </row>
    <row r="811" ht="30" customHeight="1" spans="1:6">
      <c r="A811" s="5">
        <v>809</v>
      </c>
      <c r="B811" s="5" t="str">
        <f>"36412022010310213974052"</f>
        <v>36412022010310213974052</v>
      </c>
      <c r="C811" s="5" t="s">
        <v>23</v>
      </c>
      <c r="D811" s="5" t="str">
        <f>"乔俊慧"</f>
        <v>乔俊慧</v>
      </c>
      <c r="E811" s="5" t="str">
        <f t="shared" si="90"/>
        <v>女</v>
      </c>
      <c r="F811" s="5" t="str">
        <f>"汉族"</f>
        <v>汉族</v>
      </c>
    </row>
    <row r="812" ht="30" customHeight="1" spans="1:6">
      <c r="A812" s="5">
        <v>810</v>
      </c>
      <c r="B812" s="5" t="str">
        <f>"36412022010315214675381"</f>
        <v>36412022010315214675381</v>
      </c>
      <c r="C812" s="5" t="s">
        <v>23</v>
      </c>
      <c r="D812" s="5" t="str">
        <f>"王慧霞"</f>
        <v>王慧霞</v>
      </c>
      <c r="E812" s="5" t="str">
        <f t="shared" si="90"/>
        <v>女</v>
      </c>
      <c r="F812" s="5" t="str">
        <f>"黎族"</f>
        <v>黎族</v>
      </c>
    </row>
    <row r="813" ht="30" customHeight="1" spans="1:6">
      <c r="A813" s="5">
        <v>811</v>
      </c>
      <c r="B813" s="5" t="str">
        <f>"36412022010318083975946"</f>
        <v>36412022010318083975946</v>
      </c>
      <c r="C813" s="5" t="s">
        <v>23</v>
      </c>
      <c r="D813" s="5" t="str">
        <f>"符良静"</f>
        <v>符良静</v>
      </c>
      <c r="E813" s="5" t="str">
        <f t="shared" si="90"/>
        <v>女</v>
      </c>
      <c r="F813" s="5" t="str">
        <f>"汉族"</f>
        <v>汉族</v>
      </c>
    </row>
    <row r="814" ht="30" customHeight="1" spans="1:6">
      <c r="A814" s="5">
        <v>812</v>
      </c>
      <c r="B814" s="5" t="str">
        <f>"36412022010322533476833"</f>
        <v>36412022010322533476833</v>
      </c>
      <c r="C814" s="5" t="s">
        <v>23</v>
      </c>
      <c r="D814" s="5" t="str">
        <f>"陈小雪"</f>
        <v>陈小雪</v>
      </c>
      <c r="E814" s="5" t="str">
        <f t="shared" si="90"/>
        <v>女</v>
      </c>
      <c r="F814" s="5" t="str">
        <f>"汉族"</f>
        <v>汉族</v>
      </c>
    </row>
    <row r="815" ht="30" customHeight="1" spans="1:6">
      <c r="A815" s="5">
        <v>813</v>
      </c>
      <c r="B815" s="5" t="str">
        <f>"36412022010411522778850"</f>
        <v>36412022010411522778850</v>
      </c>
      <c r="C815" s="5" t="s">
        <v>23</v>
      </c>
      <c r="D815" s="5" t="str">
        <f>"林慧微"</f>
        <v>林慧微</v>
      </c>
      <c r="E815" s="5" t="str">
        <f t="shared" si="90"/>
        <v>女</v>
      </c>
      <c r="F815" s="5" t="str">
        <f>"黎族"</f>
        <v>黎族</v>
      </c>
    </row>
    <row r="816" ht="30" customHeight="1" spans="1:6">
      <c r="A816" s="5">
        <v>814</v>
      </c>
      <c r="B816" s="5" t="str">
        <f>"36412022010413190879264"</f>
        <v>36412022010413190879264</v>
      </c>
      <c r="C816" s="5" t="s">
        <v>23</v>
      </c>
      <c r="D816" s="5" t="str">
        <f>"曾常凤"</f>
        <v>曾常凤</v>
      </c>
      <c r="E816" s="5" t="str">
        <f t="shared" si="90"/>
        <v>女</v>
      </c>
      <c r="F816" s="5" t="str">
        <f>"汉族"</f>
        <v>汉族</v>
      </c>
    </row>
    <row r="817" ht="30" customHeight="1" spans="1:6">
      <c r="A817" s="5">
        <v>815</v>
      </c>
      <c r="B817" s="5" t="str">
        <f>"36412022010415323179903"</f>
        <v>36412022010415323179903</v>
      </c>
      <c r="C817" s="5" t="s">
        <v>23</v>
      </c>
      <c r="D817" s="5" t="str">
        <f>"符晓菲"</f>
        <v>符晓菲</v>
      </c>
      <c r="E817" s="5" t="str">
        <f t="shared" si="90"/>
        <v>女</v>
      </c>
      <c r="F817" s="5" t="str">
        <f>"黎族"</f>
        <v>黎族</v>
      </c>
    </row>
    <row r="818" ht="30" customHeight="1" spans="1:6">
      <c r="A818" s="5">
        <v>816</v>
      </c>
      <c r="B818" s="5" t="str">
        <f>"36412022010416225680221"</f>
        <v>36412022010416225680221</v>
      </c>
      <c r="C818" s="5" t="s">
        <v>23</v>
      </c>
      <c r="D818" s="5" t="str">
        <f>"吕伟"</f>
        <v>吕伟</v>
      </c>
      <c r="E818" s="5" t="str">
        <f t="shared" si="90"/>
        <v>女</v>
      </c>
      <c r="F818" s="5" t="str">
        <f>"黎族"</f>
        <v>黎族</v>
      </c>
    </row>
    <row r="819" ht="30" customHeight="1" spans="1:6">
      <c r="A819" s="5">
        <v>817</v>
      </c>
      <c r="B819" s="5" t="str">
        <f>"36412022010416574280404"</f>
        <v>36412022010416574280404</v>
      </c>
      <c r="C819" s="5" t="s">
        <v>23</v>
      </c>
      <c r="D819" s="5" t="str">
        <f>"黄彩灵"</f>
        <v>黄彩灵</v>
      </c>
      <c r="E819" s="5" t="str">
        <f t="shared" si="90"/>
        <v>女</v>
      </c>
      <c r="F819" s="5" t="str">
        <f t="shared" ref="F819:F824" si="91">"汉族"</f>
        <v>汉族</v>
      </c>
    </row>
    <row r="820" ht="30" customHeight="1" spans="1:6">
      <c r="A820" s="5">
        <v>818</v>
      </c>
      <c r="B820" s="5" t="str">
        <f>"36412022010418133780769"</f>
        <v>36412022010418133780769</v>
      </c>
      <c r="C820" s="5" t="s">
        <v>23</v>
      </c>
      <c r="D820" s="5" t="str">
        <f>"王嘉瑜"</f>
        <v>王嘉瑜</v>
      </c>
      <c r="E820" s="5" t="str">
        <f t="shared" si="90"/>
        <v>女</v>
      </c>
      <c r="F820" s="5" t="str">
        <f t="shared" si="91"/>
        <v>汉族</v>
      </c>
    </row>
    <row r="821" ht="30" customHeight="1" spans="1:6">
      <c r="A821" s="5">
        <v>819</v>
      </c>
      <c r="B821" s="5" t="str">
        <f>"36412022010510245783006"</f>
        <v>36412022010510245783006</v>
      </c>
      <c r="C821" s="5" t="s">
        <v>23</v>
      </c>
      <c r="D821" s="5" t="str">
        <f>"唐元秀"</f>
        <v>唐元秀</v>
      </c>
      <c r="E821" s="5" t="str">
        <f t="shared" si="90"/>
        <v>女</v>
      </c>
      <c r="F821" s="5" t="str">
        <f t="shared" si="91"/>
        <v>汉族</v>
      </c>
    </row>
    <row r="822" ht="30" customHeight="1" spans="1:6">
      <c r="A822" s="5">
        <v>820</v>
      </c>
      <c r="B822" s="5" t="str">
        <f>"36412022010510324083074"</f>
        <v>36412022010510324083074</v>
      </c>
      <c r="C822" s="5" t="s">
        <v>23</v>
      </c>
      <c r="D822" s="5" t="str">
        <f>"薛妹丹"</f>
        <v>薛妹丹</v>
      </c>
      <c r="E822" s="5" t="str">
        <f t="shared" si="90"/>
        <v>女</v>
      </c>
      <c r="F822" s="5" t="str">
        <f t="shared" si="91"/>
        <v>汉族</v>
      </c>
    </row>
    <row r="823" ht="30" customHeight="1" spans="1:6">
      <c r="A823" s="5">
        <v>821</v>
      </c>
      <c r="B823" s="5" t="str">
        <f>"36412022010510583283255"</f>
        <v>36412022010510583283255</v>
      </c>
      <c r="C823" s="5" t="s">
        <v>23</v>
      </c>
      <c r="D823" s="5" t="str">
        <f>"杨柳"</f>
        <v>杨柳</v>
      </c>
      <c r="E823" s="5" t="str">
        <f t="shared" si="90"/>
        <v>女</v>
      </c>
      <c r="F823" s="5" t="str">
        <f t="shared" si="91"/>
        <v>汉族</v>
      </c>
    </row>
    <row r="824" ht="30" customHeight="1" spans="1:6">
      <c r="A824" s="5">
        <v>822</v>
      </c>
      <c r="B824" s="5" t="str">
        <f>"36412022010515573184784"</f>
        <v>36412022010515573184784</v>
      </c>
      <c r="C824" s="5" t="s">
        <v>23</v>
      </c>
      <c r="D824" s="5" t="str">
        <f>"洪若楠"</f>
        <v>洪若楠</v>
      </c>
      <c r="E824" s="5" t="str">
        <f t="shared" si="90"/>
        <v>女</v>
      </c>
      <c r="F824" s="5" t="str">
        <f t="shared" si="91"/>
        <v>汉族</v>
      </c>
    </row>
    <row r="825" ht="30" customHeight="1" spans="1:6">
      <c r="A825" s="5">
        <v>823</v>
      </c>
      <c r="B825" s="5" t="str">
        <f>"36412022010517320985245"</f>
        <v>36412022010517320985245</v>
      </c>
      <c r="C825" s="5" t="s">
        <v>23</v>
      </c>
      <c r="D825" s="5" t="str">
        <f>"陈玲"</f>
        <v>陈玲</v>
      </c>
      <c r="E825" s="5" t="str">
        <f t="shared" si="90"/>
        <v>女</v>
      </c>
      <c r="F825" s="5" t="str">
        <f>"苗族"</f>
        <v>苗族</v>
      </c>
    </row>
    <row r="826" ht="30" customHeight="1" spans="1:6">
      <c r="A826" s="5">
        <v>824</v>
      </c>
      <c r="B826" s="5" t="str">
        <f>"36412022010613260788103"</f>
        <v>36412022010613260788103</v>
      </c>
      <c r="C826" s="5" t="s">
        <v>23</v>
      </c>
      <c r="D826" s="5" t="str">
        <f>"金密密"</f>
        <v>金密密</v>
      </c>
      <c r="E826" s="5" t="str">
        <f t="shared" si="90"/>
        <v>女</v>
      </c>
      <c r="F826" s="5" t="str">
        <f t="shared" ref="F826:F832" si="92">"汉族"</f>
        <v>汉族</v>
      </c>
    </row>
    <row r="827" ht="30" customHeight="1" spans="1:6">
      <c r="A827" s="5">
        <v>825</v>
      </c>
      <c r="B827" s="5" t="str">
        <f>"36412022010615455388662"</f>
        <v>36412022010615455388662</v>
      </c>
      <c r="C827" s="5" t="s">
        <v>23</v>
      </c>
      <c r="D827" s="5" t="str">
        <f>"洪美琦"</f>
        <v>洪美琦</v>
      </c>
      <c r="E827" s="5" t="str">
        <f t="shared" si="90"/>
        <v>女</v>
      </c>
      <c r="F827" s="5" t="str">
        <f t="shared" si="92"/>
        <v>汉族</v>
      </c>
    </row>
    <row r="828" ht="30" customHeight="1" spans="1:6">
      <c r="A828" s="5">
        <v>826</v>
      </c>
      <c r="B828" s="5" t="str">
        <f>"36412022010616141388820"</f>
        <v>36412022010616141388820</v>
      </c>
      <c r="C828" s="5" t="s">
        <v>23</v>
      </c>
      <c r="D828" s="5" t="str">
        <f>"杨洪丽"</f>
        <v>杨洪丽</v>
      </c>
      <c r="E828" s="5" t="str">
        <f t="shared" si="90"/>
        <v>女</v>
      </c>
      <c r="F828" s="5" t="str">
        <f t="shared" si="92"/>
        <v>汉族</v>
      </c>
    </row>
    <row r="829" ht="30" customHeight="1" spans="1:6">
      <c r="A829" s="5">
        <v>827</v>
      </c>
      <c r="B829" s="5" t="str">
        <f>"36412022010710035490788"</f>
        <v>36412022010710035490788</v>
      </c>
      <c r="C829" s="5" t="s">
        <v>23</v>
      </c>
      <c r="D829" s="5" t="str">
        <f>"钟珍翠"</f>
        <v>钟珍翠</v>
      </c>
      <c r="E829" s="5" t="str">
        <f t="shared" si="90"/>
        <v>女</v>
      </c>
      <c r="F829" s="5" t="str">
        <f t="shared" si="92"/>
        <v>汉族</v>
      </c>
    </row>
    <row r="830" ht="30" customHeight="1" spans="1:6">
      <c r="A830" s="5">
        <v>828</v>
      </c>
      <c r="B830" s="5" t="str">
        <f>"36412022010717145292376"</f>
        <v>36412022010717145292376</v>
      </c>
      <c r="C830" s="5" t="s">
        <v>23</v>
      </c>
      <c r="D830" s="5" t="str">
        <f>"麦浪江"</f>
        <v>麦浪江</v>
      </c>
      <c r="E830" s="5" t="str">
        <f>"男"</f>
        <v>男</v>
      </c>
      <c r="F830" s="5" t="str">
        <f t="shared" si="92"/>
        <v>汉族</v>
      </c>
    </row>
    <row r="831" ht="30" customHeight="1" spans="1:6">
      <c r="A831" s="5">
        <v>829</v>
      </c>
      <c r="B831" s="5" t="str">
        <f>"36412022010818580693960"</f>
        <v>36412022010818580693960</v>
      </c>
      <c r="C831" s="5" t="s">
        <v>23</v>
      </c>
      <c r="D831" s="5" t="str">
        <f>"陈瑜"</f>
        <v>陈瑜</v>
      </c>
      <c r="E831" s="5" t="str">
        <f t="shared" ref="E831:E842" si="93">"女"</f>
        <v>女</v>
      </c>
      <c r="F831" s="5" t="str">
        <f t="shared" si="92"/>
        <v>汉族</v>
      </c>
    </row>
    <row r="832" ht="30" customHeight="1" spans="1:6">
      <c r="A832" s="5">
        <v>830</v>
      </c>
      <c r="B832" s="5" t="str">
        <f>"36412022010820483294170"</f>
        <v>36412022010820483294170</v>
      </c>
      <c r="C832" s="5" t="s">
        <v>23</v>
      </c>
      <c r="D832" s="5" t="str">
        <f>"赵冬蕊"</f>
        <v>赵冬蕊</v>
      </c>
      <c r="E832" s="5" t="str">
        <f t="shared" si="93"/>
        <v>女</v>
      </c>
      <c r="F832" s="5" t="str">
        <f t="shared" si="92"/>
        <v>汉族</v>
      </c>
    </row>
    <row r="833" ht="30" customHeight="1" spans="1:6">
      <c r="A833" s="5">
        <v>831</v>
      </c>
      <c r="B833" s="5" t="str">
        <f>"36412022010822011994324"</f>
        <v>36412022010822011994324</v>
      </c>
      <c r="C833" s="5" t="s">
        <v>23</v>
      </c>
      <c r="D833" s="5" t="str">
        <f>"王絮欣"</f>
        <v>王絮欣</v>
      </c>
      <c r="E833" s="5" t="str">
        <f t="shared" si="93"/>
        <v>女</v>
      </c>
      <c r="F833" s="5" t="str">
        <f>"黎族"</f>
        <v>黎族</v>
      </c>
    </row>
    <row r="834" ht="30" customHeight="1" spans="1:6">
      <c r="A834" s="5">
        <v>832</v>
      </c>
      <c r="B834" s="5" t="str">
        <f>"36412022010917290395687"</f>
        <v>36412022010917290395687</v>
      </c>
      <c r="C834" s="5" t="s">
        <v>23</v>
      </c>
      <c r="D834" s="5" t="str">
        <f>"韩玥"</f>
        <v>韩玥</v>
      </c>
      <c r="E834" s="5" t="str">
        <f t="shared" si="93"/>
        <v>女</v>
      </c>
      <c r="F834" s="5" t="str">
        <f>"汉族"</f>
        <v>汉族</v>
      </c>
    </row>
    <row r="835" ht="30" customHeight="1" spans="1:6">
      <c r="A835" s="5">
        <v>833</v>
      </c>
      <c r="B835" s="5" t="str">
        <f>"36412021123109064469663"</f>
        <v>36412021123109064469663</v>
      </c>
      <c r="C835" s="5" t="s">
        <v>24</v>
      </c>
      <c r="D835" s="5" t="str">
        <f>"曹巧佩"</f>
        <v>曹巧佩</v>
      </c>
      <c r="E835" s="5" t="str">
        <f t="shared" si="93"/>
        <v>女</v>
      </c>
      <c r="F835" s="5" t="str">
        <f>"汉族"</f>
        <v>汉族</v>
      </c>
    </row>
    <row r="836" ht="30" customHeight="1" spans="1:6">
      <c r="A836" s="5">
        <v>834</v>
      </c>
      <c r="B836" s="5" t="str">
        <f>"36412021123109070769666"</f>
        <v>36412021123109070769666</v>
      </c>
      <c r="C836" s="5" t="s">
        <v>24</v>
      </c>
      <c r="D836" s="5" t="str">
        <f>"赵甜"</f>
        <v>赵甜</v>
      </c>
      <c r="E836" s="5" t="str">
        <f t="shared" si="93"/>
        <v>女</v>
      </c>
      <c r="F836" s="5" t="str">
        <f>"汉族"</f>
        <v>汉族</v>
      </c>
    </row>
    <row r="837" ht="30" customHeight="1" spans="1:6">
      <c r="A837" s="5">
        <v>835</v>
      </c>
      <c r="B837" s="5" t="str">
        <f>"36412021123109192569723"</f>
        <v>36412021123109192569723</v>
      </c>
      <c r="C837" s="5" t="s">
        <v>24</v>
      </c>
      <c r="D837" s="5" t="str">
        <f>"陈亚燕"</f>
        <v>陈亚燕</v>
      </c>
      <c r="E837" s="5" t="str">
        <f t="shared" si="93"/>
        <v>女</v>
      </c>
      <c r="F837" s="5" t="str">
        <f>"黎族"</f>
        <v>黎族</v>
      </c>
    </row>
    <row r="838" ht="30" customHeight="1" spans="1:6">
      <c r="A838" s="5">
        <v>836</v>
      </c>
      <c r="B838" s="5" t="str">
        <f>"36412021123109405869812"</f>
        <v>36412021123109405869812</v>
      </c>
      <c r="C838" s="5" t="s">
        <v>24</v>
      </c>
      <c r="D838" s="5" t="str">
        <f>"张晓丹"</f>
        <v>张晓丹</v>
      </c>
      <c r="E838" s="5" t="str">
        <f t="shared" si="93"/>
        <v>女</v>
      </c>
      <c r="F838" s="5" t="str">
        <f t="shared" ref="F838:F846" si="94">"汉族"</f>
        <v>汉族</v>
      </c>
    </row>
    <row r="839" ht="30" customHeight="1" spans="1:6">
      <c r="A839" s="5">
        <v>837</v>
      </c>
      <c r="B839" s="5" t="str">
        <f>"36412021123109432869824"</f>
        <v>36412021123109432869824</v>
      </c>
      <c r="C839" s="5" t="s">
        <v>24</v>
      </c>
      <c r="D839" s="5" t="str">
        <f>"吴燕妹"</f>
        <v>吴燕妹</v>
      </c>
      <c r="E839" s="5" t="str">
        <f t="shared" si="93"/>
        <v>女</v>
      </c>
      <c r="F839" s="5" t="str">
        <f t="shared" si="94"/>
        <v>汉族</v>
      </c>
    </row>
    <row r="840" ht="30" customHeight="1" spans="1:6">
      <c r="A840" s="5">
        <v>838</v>
      </c>
      <c r="B840" s="5" t="str">
        <f>"36412021123109524769866"</f>
        <v>36412021123109524769866</v>
      </c>
      <c r="C840" s="5" t="s">
        <v>24</v>
      </c>
      <c r="D840" s="5" t="str">
        <f>"梁奇"</f>
        <v>梁奇</v>
      </c>
      <c r="E840" s="5" t="str">
        <f t="shared" si="93"/>
        <v>女</v>
      </c>
      <c r="F840" s="5" t="str">
        <f t="shared" si="94"/>
        <v>汉族</v>
      </c>
    </row>
    <row r="841" ht="30" customHeight="1" spans="1:6">
      <c r="A841" s="5">
        <v>839</v>
      </c>
      <c r="B841" s="5" t="str">
        <f>"36412021123110464470131"</f>
        <v>36412021123110464470131</v>
      </c>
      <c r="C841" s="5" t="s">
        <v>24</v>
      </c>
      <c r="D841" s="5" t="str">
        <f>"文高莹"</f>
        <v>文高莹</v>
      </c>
      <c r="E841" s="5" t="str">
        <f t="shared" si="93"/>
        <v>女</v>
      </c>
      <c r="F841" s="5" t="str">
        <f t="shared" si="94"/>
        <v>汉族</v>
      </c>
    </row>
    <row r="842" ht="30" customHeight="1" spans="1:6">
      <c r="A842" s="5">
        <v>840</v>
      </c>
      <c r="B842" s="5" t="str">
        <f>"36412021123110544370164"</f>
        <v>36412021123110544370164</v>
      </c>
      <c r="C842" s="5" t="s">
        <v>24</v>
      </c>
      <c r="D842" s="5" t="str">
        <f>"范叶雅"</f>
        <v>范叶雅</v>
      </c>
      <c r="E842" s="5" t="str">
        <f t="shared" si="93"/>
        <v>女</v>
      </c>
      <c r="F842" s="5" t="str">
        <f t="shared" si="94"/>
        <v>汉族</v>
      </c>
    </row>
    <row r="843" ht="30" customHeight="1" spans="1:6">
      <c r="A843" s="5">
        <v>841</v>
      </c>
      <c r="B843" s="5" t="str">
        <f>"36412021123111005670196"</f>
        <v>36412021123111005670196</v>
      </c>
      <c r="C843" s="5" t="s">
        <v>24</v>
      </c>
      <c r="D843" s="5" t="str">
        <f>"田昆"</f>
        <v>田昆</v>
      </c>
      <c r="E843" s="5" t="str">
        <f>"男"</f>
        <v>男</v>
      </c>
      <c r="F843" s="5" t="str">
        <f t="shared" si="94"/>
        <v>汉族</v>
      </c>
    </row>
    <row r="844" ht="30" customHeight="1" spans="1:6">
      <c r="A844" s="5">
        <v>842</v>
      </c>
      <c r="B844" s="5" t="str">
        <f>"36412021123111182470269"</f>
        <v>36412021123111182470269</v>
      </c>
      <c r="C844" s="5" t="s">
        <v>24</v>
      </c>
      <c r="D844" s="5" t="str">
        <f>"符冬"</f>
        <v>符冬</v>
      </c>
      <c r="E844" s="5" t="str">
        <f t="shared" ref="E844:E892" si="95">"女"</f>
        <v>女</v>
      </c>
      <c r="F844" s="5" t="str">
        <f t="shared" si="94"/>
        <v>汉族</v>
      </c>
    </row>
    <row r="845" ht="30" customHeight="1" spans="1:6">
      <c r="A845" s="5">
        <v>843</v>
      </c>
      <c r="B845" s="5" t="str">
        <f>"36412021123114580470817"</f>
        <v>36412021123114580470817</v>
      </c>
      <c r="C845" s="5" t="s">
        <v>24</v>
      </c>
      <c r="D845" s="5" t="str">
        <f>"王恋"</f>
        <v>王恋</v>
      </c>
      <c r="E845" s="5" t="str">
        <f t="shared" si="95"/>
        <v>女</v>
      </c>
      <c r="F845" s="5" t="str">
        <f t="shared" si="94"/>
        <v>汉族</v>
      </c>
    </row>
    <row r="846" ht="30" customHeight="1" spans="1:6">
      <c r="A846" s="5">
        <v>844</v>
      </c>
      <c r="B846" s="5" t="str">
        <f>"36412021123115315570906"</f>
        <v>36412021123115315570906</v>
      </c>
      <c r="C846" s="5" t="s">
        <v>24</v>
      </c>
      <c r="D846" s="5" t="str">
        <f>"魏菁秀"</f>
        <v>魏菁秀</v>
      </c>
      <c r="E846" s="5" t="str">
        <f t="shared" si="95"/>
        <v>女</v>
      </c>
      <c r="F846" s="5" t="str">
        <f t="shared" si="94"/>
        <v>汉族</v>
      </c>
    </row>
    <row r="847" ht="30" customHeight="1" spans="1:6">
      <c r="A847" s="5">
        <v>845</v>
      </c>
      <c r="B847" s="5" t="str">
        <f>"36412021123117461671152"</f>
        <v>36412021123117461671152</v>
      </c>
      <c r="C847" s="5" t="s">
        <v>24</v>
      </c>
      <c r="D847" s="5" t="str">
        <f>"付明月"</f>
        <v>付明月</v>
      </c>
      <c r="E847" s="5" t="str">
        <f t="shared" si="95"/>
        <v>女</v>
      </c>
      <c r="F847" s="5" t="str">
        <f>"苗族"</f>
        <v>苗族</v>
      </c>
    </row>
    <row r="848" ht="30" customHeight="1" spans="1:6">
      <c r="A848" s="5">
        <v>846</v>
      </c>
      <c r="B848" s="5" t="str">
        <f>"36412021123117464871155"</f>
        <v>36412021123117464871155</v>
      </c>
      <c r="C848" s="5" t="s">
        <v>24</v>
      </c>
      <c r="D848" s="5" t="str">
        <f>"王惠"</f>
        <v>王惠</v>
      </c>
      <c r="E848" s="5" t="str">
        <f t="shared" si="95"/>
        <v>女</v>
      </c>
      <c r="F848" s="5" t="str">
        <f t="shared" ref="F848:F858" si="96">"汉族"</f>
        <v>汉族</v>
      </c>
    </row>
    <row r="849" ht="30" customHeight="1" spans="1:6">
      <c r="A849" s="5">
        <v>847</v>
      </c>
      <c r="B849" s="5" t="str">
        <f>"36412021123119412571240"</f>
        <v>36412021123119412571240</v>
      </c>
      <c r="C849" s="5" t="s">
        <v>24</v>
      </c>
      <c r="D849" s="5" t="str">
        <f>"蔡蕾"</f>
        <v>蔡蕾</v>
      </c>
      <c r="E849" s="5" t="str">
        <f t="shared" si="95"/>
        <v>女</v>
      </c>
      <c r="F849" s="5" t="str">
        <f t="shared" si="96"/>
        <v>汉族</v>
      </c>
    </row>
    <row r="850" ht="30" customHeight="1" spans="1:6">
      <c r="A850" s="5">
        <v>848</v>
      </c>
      <c r="B850" s="5" t="str">
        <f>"36412021123120473071291"</f>
        <v>36412021123120473071291</v>
      </c>
      <c r="C850" s="5" t="s">
        <v>24</v>
      </c>
      <c r="D850" s="5" t="str">
        <f>"王彦媛"</f>
        <v>王彦媛</v>
      </c>
      <c r="E850" s="5" t="str">
        <f t="shared" si="95"/>
        <v>女</v>
      </c>
      <c r="F850" s="5" t="str">
        <f t="shared" si="96"/>
        <v>汉族</v>
      </c>
    </row>
    <row r="851" ht="30" customHeight="1" spans="1:6">
      <c r="A851" s="5">
        <v>849</v>
      </c>
      <c r="B851" s="5" t="str">
        <f>"36412022010110141871542"</f>
        <v>36412022010110141871542</v>
      </c>
      <c r="C851" s="5" t="s">
        <v>24</v>
      </c>
      <c r="D851" s="5" t="str">
        <f>"黄琼花"</f>
        <v>黄琼花</v>
      </c>
      <c r="E851" s="5" t="str">
        <f t="shared" si="95"/>
        <v>女</v>
      </c>
      <c r="F851" s="5" t="str">
        <f t="shared" si="96"/>
        <v>汉族</v>
      </c>
    </row>
    <row r="852" ht="30" customHeight="1" spans="1:6">
      <c r="A852" s="5">
        <v>850</v>
      </c>
      <c r="B852" s="5" t="str">
        <f>"36412022010111023871607"</f>
        <v>36412022010111023871607</v>
      </c>
      <c r="C852" s="5" t="s">
        <v>24</v>
      </c>
      <c r="D852" s="5" t="str">
        <f>"符珠岁"</f>
        <v>符珠岁</v>
      </c>
      <c r="E852" s="5" t="str">
        <f t="shared" si="95"/>
        <v>女</v>
      </c>
      <c r="F852" s="5" t="str">
        <f t="shared" si="96"/>
        <v>汉族</v>
      </c>
    </row>
    <row r="853" ht="30" customHeight="1" spans="1:6">
      <c r="A853" s="5">
        <v>851</v>
      </c>
      <c r="B853" s="5" t="str">
        <f>"36412022010113113171761"</f>
        <v>36412022010113113171761</v>
      </c>
      <c r="C853" s="5" t="s">
        <v>24</v>
      </c>
      <c r="D853" s="5" t="str">
        <f>"苏小菊"</f>
        <v>苏小菊</v>
      </c>
      <c r="E853" s="5" t="str">
        <f t="shared" si="95"/>
        <v>女</v>
      </c>
      <c r="F853" s="5" t="str">
        <f t="shared" si="96"/>
        <v>汉族</v>
      </c>
    </row>
    <row r="854" ht="30" customHeight="1" spans="1:6">
      <c r="A854" s="5">
        <v>852</v>
      </c>
      <c r="B854" s="5" t="str">
        <f>"36412022010115120871897"</f>
        <v>36412022010115120871897</v>
      </c>
      <c r="C854" s="5" t="s">
        <v>24</v>
      </c>
      <c r="D854" s="5" t="str">
        <f>"杨阳"</f>
        <v>杨阳</v>
      </c>
      <c r="E854" s="5" t="str">
        <f t="shared" si="95"/>
        <v>女</v>
      </c>
      <c r="F854" s="5" t="str">
        <f t="shared" si="96"/>
        <v>汉族</v>
      </c>
    </row>
    <row r="855" ht="30" customHeight="1" spans="1:6">
      <c r="A855" s="5">
        <v>853</v>
      </c>
      <c r="B855" s="5" t="str">
        <f>"36412022010123271372360"</f>
        <v>36412022010123271372360</v>
      </c>
      <c r="C855" s="5" t="s">
        <v>24</v>
      </c>
      <c r="D855" s="5" t="str">
        <f>"王利佳"</f>
        <v>王利佳</v>
      </c>
      <c r="E855" s="5" t="str">
        <f t="shared" si="95"/>
        <v>女</v>
      </c>
      <c r="F855" s="5" t="str">
        <f t="shared" si="96"/>
        <v>汉族</v>
      </c>
    </row>
    <row r="856" ht="30" customHeight="1" spans="1:6">
      <c r="A856" s="5">
        <v>854</v>
      </c>
      <c r="B856" s="5" t="str">
        <f>"36412022010123403372370"</f>
        <v>36412022010123403372370</v>
      </c>
      <c r="C856" s="5" t="s">
        <v>24</v>
      </c>
      <c r="D856" s="5" t="str">
        <f>"谭学晶"</f>
        <v>谭学晶</v>
      </c>
      <c r="E856" s="5" t="str">
        <f t="shared" si="95"/>
        <v>女</v>
      </c>
      <c r="F856" s="5" t="str">
        <f t="shared" si="96"/>
        <v>汉族</v>
      </c>
    </row>
    <row r="857" ht="30" customHeight="1" spans="1:6">
      <c r="A857" s="5">
        <v>855</v>
      </c>
      <c r="B857" s="5" t="str">
        <f>"36412022010209400772480"</f>
        <v>36412022010209400772480</v>
      </c>
      <c r="C857" s="5" t="s">
        <v>24</v>
      </c>
      <c r="D857" s="5" t="str">
        <f>"李琼英"</f>
        <v>李琼英</v>
      </c>
      <c r="E857" s="5" t="str">
        <f t="shared" si="95"/>
        <v>女</v>
      </c>
      <c r="F857" s="5" t="str">
        <f t="shared" si="96"/>
        <v>汉族</v>
      </c>
    </row>
    <row r="858" ht="30" customHeight="1" spans="1:6">
      <c r="A858" s="5">
        <v>856</v>
      </c>
      <c r="B858" s="5" t="str">
        <f>"36412022010211460672660"</f>
        <v>36412022010211460672660</v>
      </c>
      <c r="C858" s="5" t="s">
        <v>24</v>
      </c>
      <c r="D858" s="5" t="str">
        <f>"苏二妹"</f>
        <v>苏二妹</v>
      </c>
      <c r="E858" s="5" t="str">
        <f t="shared" si="95"/>
        <v>女</v>
      </c>
      <c r="F858" s="5" t="str">
        <f t="shared" si="96"/>
        <v>汉族</v>
      </c>
    </row>
    <row r="859" ht="30" customHeight="1" spans="1:6">
      <c r="A859" s="5">
        <v>857</v>
      </c>
      <c r="B859" s="5" t="str">
        <f>"36412022010212111272694"</f>
        <v>36412022010212111272694</v>
      </c>
      <c r="C859" s="5" t="s">
        <v>24</v>
      </c>
      <c r="D859" s="5" t="str">
        <f>"林惠欣"</f>
        <v>林惠欣</v>
      </c>
      <c r="E859" s="5" t="str">
        <f t="shared" si="95"/>
        <v>女</v>
      </c>
      <c r="F859" s="5" t="str">
        <f>"黎族"</f>
        <v>黎族</v>
      </c>
    </row>
    <row r="860" ht="30" customHeight="1" spans="1:6">
      <c r="A860" s="5">
        <v>858</v>
      </c>
      <c r="B860" s="5" t="str">
        <f>"36412022010213591172828"</f>
        <v>36412022010213591172828</v>
      </c>
      <c r="C860" s="5" t="s">
        <v>24</v>
      </c>
      <c r="D860" s="5" t="str">
        <f>"罗丹"</f>
        <v>罗丹</v>
      </c>
      <c r="E860" s="5" t="str">
        <f t="shared" si="95"/>
        <v>女</v>
      </c>
      <c r="F860" s="5" t="str">
        <f>"汉族"</f>
        <v>汉族</v>
      </c>
    </row>
    <row r="861" ht="30" customHeight="1" spans="1:6">
      <c r="A861" s="5">
        <v>859</v>
      </c>
      <c r="B861" s="5" t="str">
        <f>"36412022010214521372886"</f>
        <v>36412022010214521372886</v>
      </c>
      <c r="C861" s="5" t="s">
        <v>24</v>
      </c>
      <c r="D861" s="5" t="str">
        <f>"吴延娥"</f>
        <v>吴延娥</v>
      </c>
      <c r="E861" s="5" t="str">
        <f t="shared" si="95"/>
        <v>女</v>
      </c>
      <c r="F861" s="5" t="str">
        <f>"汉族"</f>
        <v>汉族</v>
      </c>
    </row>
    <row r="862" ht="30" customHeight="1" spans="1:6">
      <c r="A862" s="5">
        <v>860</v>
      </c>
      <c r="B862" s="5" t="str">
        <f>"36412022010217044073044"</f>
        <v>36412022010217044073044</v>
      </c>
      <c r="C862" s="5" t="s">
        <v>24</v>
      </c>
      <c r="D862" s="5" t="str">
        <f>"黄英"</f>
        <v>黄英</v>
      </c>
      <c r="E862" s="5" t="str">
        <f t="shared" si="95"/>
        <v>女</v>
      </c>
      <c r="F862" s="5" t="str">
        <f>"汉族"</f>
        <v>汉族</v>
      </c>
    </row>
    <row r="863" ht="30" customHeight="1" spans="1:6">
      <c r="A863" s="5">
        <v>861</v>
      </c>
      <c r="B863" s="5" t="str">
        <f>"36412022010220450973267"</f>
        <v>36412022010220450973267</v>
      </c>
      <c r="C863" s="5" t="s">
        <v>24</v>
      </c>
      <c r="D863" s="5" t="str">
        <f>"余鼎鼎"</f>
        <v>余鼎鼎</v>
      </c>
      <c r="E863" s="5" t="str">
        <f t="shared" si="95"/>
        <v>女</v>
      </c>
      <c r="F863" s="5" t="str">
        <f>"汉族"</f>
        <v>汉族</v>
      </c>
    </row>
    <row r="864" ht="30" customHeight="1" spans="1:6">
      <c r="A864" s="5">
        <v>862</v>
      </c>
      <c r="B864" s="5" t="str">
        <f>"36412022010221292873315"</f>
        <v>36412022010221292873315</v>
      </c>
      <c r="C864" s="5" t="s">
        <v>24</v>
      </c>
      <c r="D864" s="5" t="str">
        <f>"杨依妮"</f>
        <v>杨依妮</v>
      </c>
      <c r="E864" s="5" t="str">
        <f t="shared" si="95"/>
        <v>女</v>
      </c>
      <c r="F864" s="5" t="str">
        <f>"黎族"</f>
        <v>黎族</v>
      </c>
    </row>
    <row r="865" ht="30" customHeight="1" spans="1:6">
      <c r="A865" s="5">
        <v>863</v>
      </c>
      <c r="B865" s="5" t="str">
        <f>"36412022010221410173331"</f>
        <v>36412022010221410173331</v>
      </c>
      <c r="C865" s="5" t="s">
        <v>24</v>
      </c>
      <c r="D865" s="5" t="str">
        <f>"周晶晶"</f>
        <v>周晶晶</v>
      </c>
      <c r="E865" s="5" t="str">
        <f t="shared" si="95"/>
        <v>女</v>
      </c>
      <c r="F865" s="5" t="str">
        <f t="shared" ref="F865:F871" si="97">"汉族"</f>
        <v>汉族</v>
      </c>
    </row>
    <row r="866" ht="30" customHeight="1" spans="1:6">
      <c r="A866" s="5">
        <v>864</v>
      </c>
      <c r="B866" s="5" t="str">
        <f>"36412022010221421873333"</f>
        <v>36412022010221421873333</v>
      </c>
      <c r="C866" s="5" t="s">
        <v>24</v>
      </c>
      <c r="D866" s="5" t="str">
        <f>"王康丽"</f>
        <v>王康丽</v>
      </c>
      <c r="E866" s="5" t="str">
        <f t="shared" si="95"/>
        <v>女</v>
      </c>
      <c r="F866" s="5" t="str">
        <f t="shared" si="97"/>
        <v>汉族</v>
      </c>
    </row>
    <row r="867" ht="30" customHeight="1" spans="1:6">
      <c r="A867" s="5">
        <v>865</v>
      </c>
      <c r="B867" s="5" t="str">
        <f>"36412022010222331673388"</f>
        <v>36412022010222331673388</v>
      </c>
      <c r="C867" s="5" t="s">
        <v>24</v>
      </c>
      <c r="D867" s="5" t="str">
        <f>"何石兰"</f>
        <v>何石兰</v>
      </c>
      <c r="E867" s="5" t="str">
        <f t="shared" si="95"/>
        <v>女</v>
      </c>
      <c r="F867" s="5" t="str">
        <f t="shared" si="97"/>
        <v>汉族</v>
      </c>
    </row>
    <row r="868" ht="30" customHeight="1" spans="1:6">
      <c r="A868" s="5">
        <v>866</v>
      </c>
      <c r="B868" s="5" t="str">
        <f>"36412022010310215574055"</f>
        <v>36412022010310215574055</v>
      </c>
      <c r="C868" s="5" t="s">
        <v>24</v>
      </c>
      <c r="D868" s="5" t="str">
        <f>"陈妍婷"</f>
        <v>陈妍婷</v>
      </c>
      <c r="E868" s="5" t="str">
        <f t="shared" si="95"/>
        <v>女</v>
      </c>
      <c r="F868" s="5" t="str">
        <f t="shared" si="97"/>
        <v>汉族</v>
      </c>
    </row>
    <row r="869" ht="30" customHeight="1" spans="1:6">
      <c r="A869" s="5">
        <v>867</v>
      </c>
      <c r="B869" s="5" t="str">
        <f>"36412022010311183274367"</f>
        <v>36412022010311183274367</v>
      </c>
      <c r="C869" s="5" t="s">
        <v>24</v>
      </c>
      <c r="D869" s="5" t="str">
        <f>"王芳婷"</f>
        <v>王芳婷</v>
      </c>
      <c r="E869" s="5" t="str">
        <f t="shared" si="95"/>
        <v>女</v>
      </c>
      <c r="F869" s="5" t="str">
        <f t="shared" si="97"/>
        <v>汉族</v>
      </c>
    </row>
    <row r="870" ht="30" customHeight="1" spans="1:6">
      <c r="A870" s="5">
        <v>868</v>
      </c>
      <c r="B870" s="5" t="str">
        <f>"36412022010312454274794"</f>
        <v>36412022010312454274794</v>
      </c>
      <c r="C870" s="5" t="s">
        <v>24</v>
      </c>
      <c r="D870" s="5" t="str">
        <f>"李春菊"</f>
        <v>李春菊</v>
      </c>
      <c r="E870" s="5" t="str">
        <f t="shared" si="95"/>
        <v>女</v>
      </c>
      <c r="F870" s="5" t="str">
        <f t="shared" si="97"/>
        <v>汉族</v>
      </c>
    </row>
    <row r="871" ht="30" customHeight="1" spans="1:6">
      <c r="A871" s="5">
        <v>869</v>
      </c>
      <c r="B871" s="5" t="str">
        <f>"36412022010313363375009"</f>
        <v>36412022010313363375009</v>
      </c>
      <c r="C871" s="5" t="s">
        <v>24</v>
      </c>
      <c r="D871" s="5" t="str">
        <f>"李英芷"</f>
        <v>李英芷</v>
      </c>
      <c r="E871" s="5" t="str">
        <f t="shared" si="95"/>
        <v>女</v>
      </c>
      <c r="F871" s="5" t="str">
        <f t="shared" si="97"/>
        <v>汉族</v>
      </c>
    </row>
    <row r="872" ht="30" customHeight="1" spans="1:6">
      <c r="A872" s="5">
        <v>870</v>
      </c>
      <c r="B872" s="5" t="str">
        <f>"36412022010314241875179"</f>
        <v>36412022010314241875179</v>
      </c>
      <c r="C872" s="5" t="s">
        <v>24</v>
      </c>
      <c r="D872" s="5" t="str">
        <f>"黄桂花"</f>
        <v>黄桂花</v>
      </c>
      <c r="E872" s="5" t="str">
        <f t="shared" si="95"/>
        <v>女</v>
      </c>
      <c r="F872" s="5" t="str">
        <f>"苗族"</f>
        <v>苗族</v>
      </c>
    </row>
    <row r="873" ht="30" customHeight="1" spans="1:6">
      <c r="A873" s="5">
        <v>871</v>
      </c>
      <c r="B873" s="5" t="str">
        <f>"36412022010315382075440"</f>
        <v>36412022010315382075440</v>
      </c>
      <c r="C873" s="5" t="s">
        <v>24</v>
      </c>
      <c r="D873" s="5" t="str">
        <f>"黎兴芳"</f>
        <v>黎兴芳</v>
      </c>
      <c r="E873" s="5" t="str">
        <f t="shared" si="95"/>
        <v>女</v>
      </c>
      <c r="F873" s="5" t="str">
        <f>"汉族"</f>
        <v>汉族</v>
      </c>
    </row>
    <row r="874" ht="30" customHeight="1" spans="1:6">
      <c r="A874" s="5">
        <v>872</v>
      </c>
      <c r="B874" s="5" t="str">
        <f>"36412022010316163775575"</f>
        <v>36412022010316163775575</v>
      </c>
      <c r="C874" s="5" t="s">
        <v>24</v>
      </c>
      <c r="D874" s="5" t="str">
        <f>"叶丽娜"</f>
        <v>叶丽娜</v>
      </c>
      <c r="E874" s="5" t="str">
        <f t="shared" si="95"/>
        <v>女</v>
      </c>
      <c r="F874" s="5" t="str">
        <f>"黎族"</f>
        <v>黎族</v>
      </c>
    </row>
    <row r="875" ht="30" customHeight="1" spans="1:6">
      <c r="A875" s="5">
        <v>873</v>
      </c>
      <c r="B875" s="5" t="str">
        <f>"36412022010317402875865"</f>
        <v>36412022010317402875865</v>
      </c>
      <c r="C875" s="5" t="s">
        <v>24</v>
      </c>
      <c r="D875" s="5" t="str">
        <f>"蔡春萍"</f>
        <v>蔡春萍</v>
      </c>
      <c r="E875" s="5" t="str">
        <f t="shared" si="95"/>
        <v>女</v>
      </c>
      <c r="F875" s="5" t="str">
        <f t="shared" ref="F875:F880" si="98">"汉族"</f>
        <v>汉族</v>
      </c>
    </row>
    <row r="876" ht="30" customHeight="1" spans="1:6">
      <c r="A876" s="5">
        <v>874</v>
      </c>
      <c r="B876" s="5" t="str">
        <f>"36412022010319342676213"</f>
        <v>36412022010319342676213</v>
      </c>
      <c r="C876" s="5" t="s">
        <v>24</v>
      </c>
      <c r="D876" s="5" t="str">
        <f>"郑阿雪"</f>
        <v>郑阿雪</v>
      </c>
      <c r="E876" s="5" t="str">
        <f t="shared" si="95"/>
        <v>女</v>
      </c>
      <c r="F876" s="5" t="str">
        <f t="shared" si="98"/>
        <v>汉族</v>
      </c>
    </row>
    <row r="877" ht="30" customHeight="1" spans="1:6">
      <c r="A877" s="5">
        <v>875</v>
      </c>
      <c r="B877" s="5" t="str">
        <f>"36412022010320011576314"</f>
        <v>36412022010320011576314</v>
      </c>
      <c r="C877" s="5" t="s">
        <v>24</v>
      </c>
      <c r="D877" s="5" t="str">
        <f>"孙悦"</f>
        <v>孙悦</v>
      </c>
      <c r="E877" s="5" t="str">
        <f t="shared" si="95"/>
        <v>女</v>
      </c>
      <c r="F877" s="5" t="str">
        <f t="shared" si="98"/>
        <v>汉族</v>
      </c>
    </row>
    <row r="878" ht="30" customHeight="1" spans="1:6">
      <c r="A878" s="5">
        <v>876</v>
      </c>
      <c r="B878" s="5" t="str">
        <f>"36412022010321270276576"</f>
        <v>36412022010321270276576</v>
      </c>
      <c r="C878" s="5" t="s">
        <v>24</v>
      </c>
      <c r="D878" s="5" t="str">
        <f>"林圆好"</f>
        <v>林圆好</v>
      </c>
      <c r="E878" s="5" t="str">
        <f t="shared" si="95"/>
        <v>女</v>
      </c>
      <c r="F878" s="5" t="str">
        <f t="shared" si="98"/>
        <v>汉族</v>
      </c>
    </row>
    <row r="879" ht="30" customHeight="1" spans="1:6">
      <c r="A879" s="5">
        <v>877</v>
      </c>
      <c r="B879" s="5" t="str">
        <f>"36412022010321411976626"</f>
        <v>36412022010321411976626</v>
      </c>
      <c r="C879" s="5" t="s">
        <v>24</v>
      </c>
      <c r="D879" s="5" t="str">
        <f>"舒敏"</f>
        <v>舒敏</v>
      </c>
      <c r="E879" s="5" t="str">
        <f t="shared" si="95"/>
        <v>女</v>
      </c>
      <c r="F879" s="5" t="str">
        <f t="shared" si="98"/>
        <v>汉族</v>
      </c>
    </row>
    <row r="880" ht="30" customHeight="1" spans="1:6">
      <c r="A880" s="5">
        <v>878</v>
      </c>
      <c r="B880" s="5" t="str">
        <f>"36412022010408191577148"</f>
        <v>36412022010408191577148</v>
      </c>
      <c r="C880" s="5" t="s">
        <v>24</v>
      </c>
      <c r="D880" s="5" t="str">
        <f>"罗周仙"</f>
        <v>罗周仙</v>
      </c>
      <c r="E880" s="5" t="str">
        <f t="shared" si="95"/>
        <v>女</v>
      </c>
      <c r="F880" s="5" t="str">
        <f t="shared" si="98"/>
        <v>汉族</v>
      </c>
    </row>
    <row r="881" ht="30" customHeight="1" spans="1:6">
      <c r="A881" s="5">
        <v>879</v>
      </c>
      <c r="B881" s="5" t="str">
        <f>"36412022010409013277395"</f>
        <v>36412022010409013277395</v>
      </c>
      <c r="C881" s="5" t="s">
        <v>24</v>
      </c>
      <c r="D881" s="5" t="str">
        <f>"卢少婧"</f>
        <v>卢少婧</v>
      </c>
      <c r="E881" s="5" t="str">
        <f t="shared" si="95"/>
        <v>女</v>
      </c>
      <c r="F881" s="5" t="str">
        <f>"黎族"</f>
        <v>黎族</v>
      </c>
    </row>
    <row r="882" ht="30" customHeight="1" spans="1:6">
      <c r="A882" s="5">
        <v>880</v>
      </c>
      <c r="B882" s="5" t="str">
        <f>"36412022010409253177607"</f>
        <v>36412022010409253177607</v>
      </c>
      <c r="C882" s="5" t="s">
        <v>24</v>
      </c>
      <c r="D882" s="5" t="str">
        <f>"薛秀乾"</f>
        <v>薛秀乾</v>
      </c>
      <c r="E882" s="5" t="str">
        <f t="shared" si="95"/>
        <v>女</v>
      </c>
      <c r="F882" s="5" t="str">
        <f t="shared" ref="F882:F887" si="99">"汉族"</f>
        <v>汉族</v>
      </c>
    </row>
    <row r="883" ht="30" customHeight="1" spans="1:6">
      <c r="A883" s="5">
        <v>881</v>
      </c>
      <c r="B883" s="5" t="str">
        <f>"36412022010409402377722"</f>
        <v>36412022010409402377722</v>
      </c>
      <c r="C883" s="5" t="s">
        <v>24</v>
      </c>
      <c r="D883" s="5" t="str">
        <f>"吴昕恬"</f>
        <v>吴昕恬</v>
      </c>
      <c r="E883" s="5" t="str">
        <f t="shared" si="95"/>
        <v>女</v>
      </c>
      <c r="F883" s="5" t="str">
        <f t="shared" si="99"/>
        <v>汉族</v>
      </c>
    </row>
    <row r="884" ht="30" customHeight="1" spans="1:6">
      <c r="A884" s="5">
        <v>882</v>
      </c>
      <c r="B884" s="5" t="str">
        <f>"36412022010410434478294"</f>
        <v>36412022010410434478294</v>
      </c>
      <c r="C884" s="5" t="s">
        <v>24</v>
      </c>
      <c r="D884" s="5" t="str">
        <f>"钟金姐"</f>
        <v>钟金姐</v>
      </c>
      <c r="E884" s="5" t="str">
        <f t="shared" si="95"/>
        <v>女</v>
      </c>
      <c r="F884" s="5" t="str">
        <f t="shared" si="99"/>
        <v>汉族</v>
      </c>
    </row>
    <row r="885" ht="30" customHeight="1" spans="1:6">
      <c r="A885" s="5">
        <v>883</v>
      </c>
      <c r="B885" s="5" t="str">
        <f>"36412022010411221778638"</f>
        <v>36412022010411221778638</v>
      </c>
      <c r="C885" s="5" t="s">
        <v>24</v>
      </c>
      <c r="D885" s="5" t="str">
        <f>"梁才南"</f>
        <v>梁才南</v>
      </c>
      <c r="E885" s="5" t="str">
        <f t="shared" si="95"/>
        <v>女</v>
      </c>
      <c r="F885" s="5" t="str">
        <f t="shared" si="99"/>
        <v>汉族</v>
      </c>
    </row>
    <row r="886" ht="30" customHeight="1" spans="1:6">
      <c r="A886" s="5">
        <v>884</v>
      </c>
      <c r="B886" s="5" t="str">
        <f>"36412022010411242278651"</f>
        <v>36412022010411242278651</v>
      </c>
      <c r="C886" s="5" t="s">
        <v>24</v>
      </c>
      <c r="D886" s="5" t="str">
        <f>"董芳序"</f>
        <v>董芳序</v>
      </c>
      <c r="E886" s="5" t="str">
        <f t="shared" si="95"/>
        <v>女</v>
      </c>
      <c r="F886" s="5" t="str">
        <f t="shared" si="99"/>
        <v>汉族</v>
      </c>
    </row>
    <row r="887" ht="30" customHeight="1" spans="1:6">
      <c r="A887" s="5">
        <v>885</v>
      </c>
      <c r="B887" s="5" t="str">
        <f>"36412022010411274878678"</f>
        <v>36412022010411274878678</v>
      </c>
      <c r="C887" s="5" t="s">
        <v>24</v>
      </c>
      <c r="D887" s="5" t="str">
        <f>"梁璐"</f>
        <v>梁璐</v>
      </c>
      <c r="E887" s="5" t="str">
        <f t="shared" si="95"/>
        <v>女</v>
      </c>
      <c r="F887" s="5" t="str">
        <f t="shared" si="99"/>
        <v>汉族</v>
      </c>
    </row>
    <row r="888" ht="30" customHeight="1" spans="1:6">
      <c r="A888" s="5">
        <v>886</v>
      </c>
      <c r="B888" s="5" t="str">
        <f>"36412022010413040479189"</f>
        <v>36412022010413040479189</v>
      </c>
      <c r="C888" s="5" t="s">
        <v>24</v>
      </c>
      <c r="D888" s="5" t="str">
        <f>"蒙巧凤"</f>
        <v>蒙巧凤</v>
      </c>
      <c r="E888" s="5" t="str">
        <f t="shared" si="95"/>
        <v>女</v>
      </c>
      <c r="F888" s="5" t="str">
        <f>"苗族"</f>
        <v>苗族</v>
      </c>
    </row>
    <row r="889" ht="30" customHeight="1" spans="1:6">
      <c r="A889" s="5">
        <v>887</v>
      </c>
      <c r="B889" s="5" t="str">
        <f>"36412022010413575879386"</f>
        <v>36412022010413575879386</v>
      </c>
      <c r="C889" s="5" t="s">
        <v>24</v>
      </c>
      <c r="D889" s="5" t="str">
        <f>"王明波"</f>
        <v>王明波</v>
      </c>
      <c r="E889" s="5" t="str">
        <f t="shared" si="95"/>
        <v>女</v>
      </c>
      <c r="F889" s="5" t="str">
        <f t="shared" ref="F889:F894" si="100">"汉族"</f>
        <v>汉族</v>
      </c>
    </row>
    <row r="890" ht="30" customHeight="1" spans="1:6">
      <c r="A890" s="5">
        <v>888</v>
      </c>
      <c r="B890" s="5" t="str">
        <f>"36412022010414573579672"</f>
        <v>36412022010414573579672</v>
      </c>
      <c r="C890" s="5" t="s">
        <v>24</v>
      </c>
      <c r="D890" s="5" t="str">
        <f>"黄振丹"</f>
        <v>黄振丹</v>
      </c>
      <c r="E890" s="5" t="str">
        <f t="shared" si="95"/>
        <v>女</v>
      </c>
      <c r="F890" s="5" t="str">
        <f t="shared" si="100"/>
        <v>汉族</v>
      </c>
    </row>
    <row r="891" ht="30" customHeight="1" spans="1:6">
      <c r="A891" s="5">
        <v>889</v>
      </c>
      <c r="B891" s="5" t="str">
        <f>"36412022010414575379675"</f>
        <v>36412022010414575379675</v>
      </c>
      <c r="C891" s="5" t="s">
        <v>24</v>
      </c>
      <c r="D891" s="5" t="str">
        <f>"周思萌"</f>
        <v>周思萌</v>
      </c>
      <c r="E891" s="5" t="str">
        <f t="shared" si="95"/>
        <v>女</v>
      </c>
      <c r="F891" s="5" t="str">
        <f t="shared" si="100"/>
        <v>汉族</v>
      </c>
    </row>
    <row r="892" ht="30" customHeight="1" spans="1:6">
      <c r="A892" s="5">
        <v>890</v>
      </c>
      <c r="B892" s="5" t="str">
        <f>"36412022010415053479727"</f>
        <v>36412022010415053479727</v>
      </c>
      <c r="C892" s="5" t="s">
        <v>24</v>
      </c>
      <c r="D892" s="5" t="str">
        <f>"阮华彩"</f>
        <v>阮华彩</v>
      </c>
      <c r="E892" s="5" t="str">
        <f t="shared" si="95"/>
        <v>女</v>
      </c>
      <c r="F892" s="5" t="str">
        <f t="shared" si="100"/>
        <v>汉族</v>
      </c>
    </row>
    <row r="893" ht="30" customHeight="1" spans="1:6">
      <c r="A893" s="5">
        <v>891</v>
      </c>
      <c r="B893" s="5" t="str">
        <f>"36412022010415142879786"</f>
        <v>36412022010415142879786</v>
      </c>
      <c r="C893" s="5" t="s">
        <v>24</v>
      </c>
      <c r="D893" s="5" t="str">
        <f>"张夏鹏"</f>
        <v>张夏鹏</v>
      </c>
      <c r="E893" s="5" t="str">
        <f>"男"</f>
        <v>男</v>
      </c>
      <c r="F893" s="5" t="str">
        <f t="shared" si="100"/>
        <v>汉族</v>
      </c>
    </row>
    <row r="894" ht="30" customHeight="1" spans="1:6">
      <c r="A894" s="5">
        <v>892</v>
      </c>
      <c r="B894" s="5" t="str">
        <f>"36412022010416253480234"</f>
        <v>36412022010416253480234</v>
      </c>
      <c r="C894" s="5" t="s">
        <v>24</v>
      </c>
      <c r="D894" s="5" t="str">
        <f>"钟教敏"</f>
        <v>钟教敏</v>
      </c>
      <c r="E894" s="5" t="str">
        <f t="shared" ref="E894:E901" si="101">"女"</f>
        <v>女</v>
      </c>
      <c r="F894" s="5" t="str">
        <f t="shared" si="100"/>
        <v>汉族</v>
      </c>
    </row>
    <row r="895" ht="30" customHeight="1" spans="1:6">
      <c r="A895" s="5">
        <v>893</v>
      </c>
      <c r="B895" s="5" t="str">
        <f>"36412022010416580180408"</f>
        <v>36412022010416580180408</v>
      </c>
      <c r="C895" s="5" t="s">
        <v>24</v>
      </c>
      <c r="D895" s="5" t="str">
        <f>"董佳佳"</f>
        <v>董佳佳</v>
      </c>
      <c r="E895" s="5" t="str">
        <f t="shared" si="101"/>
        <v>女</v>
      </c>
      <c r="F895" s="5" t="str">
        <f>"黎族"</f>
        <v>黎族</v>
      </c>
    </row>
    <row r="896" ht="30" customHeight="1" spans="1:6">
      <c r="A896" s="5">
        <v>894</v>
      </c>
      <c r="B896" s="5" t="str">
        <f>"36412022010417100780477"</f>
        <v>36412022010417100780477</v>
      </c>
      <c r="C896" s="5" t="s">
        <v>24</v>
      </c>
      <c r="D896" s="5" t="str">
        <f>"杨箫笛"</f>
        <v>杨箫笛</v>
      </c>
      <c r="E896" s="5" t="str">
        <f t="shared" si="101"/>
        <v>女</v>
      </c>
      <c r="F896" s="5" t="str">
        <f t="shared" ref="F896:F905" si="102">"汉族"</f>
        <v>汉族</v>
      </c>
    </row>
    <row r="897" ht="30" customHeight="1" spans="1:6">
      <c r="A897" s="5">
        <v>895</v>
      </c>
      <c r="B897" s="5" t="str">
        <f>"36412022010417131980492"</f>
        <v>36412022010417131980492</v>
      </c>
      <c r="C897" s="5" t="s">
        <v>24</v>
      </c>
      <c r="D897" s="5" t="str">
        <f>"吴桃艳"</f>
        <v>吴桃艳</v>
      </c>
      <c r="E897" s="5" t="str">
        <f t="shared" si="101"/>
        <v>女</v>
      </c>
      <c r="F897" s="5" t="str">
        <f t="shared" si="102"/>
        <v>汉族</v>
      </c>
    </row>
    <row r="898" ht="30" customHeight="1" spans="1:6">
      <c r="A898" s="5">
        <v>896</v>
      </c>
      <c r="B898" s="5" t="str">
        <f>"36412022010418202880800"</f>
        <v>36412022010418202880800</v>
      </c>
      <c r="C898" s="5" t="s">
        <v>24</v>
      </c>
      <c r="D898" s="5" t="str">
        <f>"羊彩虹"</f>
        <v>羊彩虹</v>
      </c>
      <c r="E898" s="5" t="str">
        <f t="shared" si="101"/>
        <v>女</v>
      </c>
      <c r="F898" s="5" t="str">
        <f t="shared" si="102"/>
        <v>汉族</v>
      </c>
    </row>
    <row r="899" ht="30" customHeight="1" spans="1:6">
      <c r="A899" s="5">
        <v>897</v>
      </c>
      <c r="B899" s="5" t="str">
        <f>"36412022010418243380820"</f>
        <v>36412022010418243380820</v>
      </c>
      <c r="C899" s="5" t="s">
        <v>24</v>
      </c>
      <c r="D899" s="5" t="str">
        <f>"彭水苗"</f>
        <v>彭水苗</v>
      </c>
      <c r="E899" s="5" t="str">
        <f t="shared" si="101"/>
        <v>女</v>
      </c>
      <c r="F899" s="5" t="str">
        <f t="shared" si="102"/>
        <v>汉族</v>
      </c>
    </row>
    <row r="900" ht="30" customHeight="1" spans="1:6">
      <c r="A900" s="5">
        <v>898</v>
      </c>
      <c r="B900" s="5" t="str">
        <f>"36412022010419391581169"</f>
        <v>36412022010419391581169</v>
      </c>
      <c r="C900" s="5" t="s">
        <v>24</v>
      </c>
      <c r="D900" s="5" t="str">
        <f>"陈妹莹"</f>
        <v>陈妹莹</v>
      </c>
      <c r="E900" s="5" t="str">
        <f t="shared" si="101"/>
        <v>女</v>
      </c>
      <c r="F900" s="5" t="str">
        <f t="shared" si="102"/>
        <v>汉族</v>
      </c>
    </row>
    <row r="901" ht="30" customHeight="1" spans="1:6">
      <c r="A901" s="5">
        <v>899</v>
      </c>
      <c r="B901" s="5" t="str">
        <f>"36412022010420012981278"</f>
        <v>36412022010420012981278</v>
      </c>
      <c r="C901" s="5" t="s">
        <v>24</v>
      </c>
      <c r="D901" s="5" t="str">
        <f>"冯琦"</f>
        <v>冯琦</v>
      </c>
      <c r="E901" s="5" t="str">
        <f t="shared" si="101"/>
        <v>女</v>
      </c>
      <c r="F901" s="5" t="str">
        <f t="shared" si="102"/>
        <v>汉族</v>
      </c>
    </row>
    <row r="902" ht="30" customHeight="1" spans="1:6">
      <c r="A902" s="5">
        <v>900</v>
      </c>
      <c r="B902" s="5" t="str">
        <f>"36412022010420501381523"</f>
        <v>36412022010420501381523</v>
      </c>
      <c r="C902" s="5" t="s">
        <v>24</v>
      </c>
      <c r="D902" s="5" t="str">
        <f>"崔开驹"</f>
        <v>崔开驹</v>
      </c>
      <c r="E902" s="5" t="str">
        <f>"男"</f>
        <v>男</v>
      </c>
      <c r="F902" s="5" t="str">
        <f t="shared" si="102"/>
        <v>汉族</v>
      </c>
    </row>
    <row r="903" ht="30" customHeight="1" spans="1:6">
      <c r="A903" s="5">
        <v>901</v>
      </c>
      <c r="B903" s="5" t="str">
        <f>"36412022010421025281586"</f>
        <v>36412022010421025281586</v>
      </c>
      <c r="C903" s="5" t="s">
        <v>24</v>
      </c>
      <c r="D903" s="5" t="str">
        <f>"苏崖"</f>
        <v>苏崖</v>
      </c>
      <c r="E903" s="5" t="str">
        <f t="shared" ref="E903:E932" si="103">"女"</f>
        <v>女</v>
      </c>
      <c r="F903" s="5" t="str">
        <f t="shared" si="102"/>
        <v>汉族</v>
      </c>
    </row>
    <row r="904" ht="30" customHeight="1" spans="1:6">
      <c r="A904" s="5">
        <v>902</v>
      </c>
      <c r="B904" s="5" t="str">
        <f>"36412022010421241181701"</f>
        <v>36412022010421241181701</v>
      </c>
      <c r="C904" s="5" t="s">
        <v>24</v>
      </c>
      <c r="D904" s="5" t="str">
        <f>"赵秀香"</f>
        <v>赵秀香</v>
      </c>
      <c r="E904" s="5" t="str">
        <f t="shared" si="103"/>
        <v>女</v>
      </c>
      <c r="F904" s="5" t="str">
        <f t="shared" si="102"/>
        <v>汉族</v>
      </c>
    </row>
    <row r="905" ht="30" customHeight="1" spans="1:6">
      <c r="A905" s="5">
        <v>903</v>
      </c>
      <c r="B905" s="5" t="str">
        <f>"36412022010421274681712"</f>
        <v>36412022010421274681712</v>
      </c>
      <c r="C905" s="5" t="s">
        <v>24</v>
      </c>
      <c r="D905" s="5" t="str">
        <f>"吴露婷"</f>
        <v>吴露婷</v>
      </c>
      <c r="E905" s="5" t="str">
        <f t="shared" si="103"/>
        <v>女</v>
      </c>
      <c r="F905" s="5" t="str">
        <f t="shared" si="102"/>
        <v>汉族</v>
      </c>
    </row>
    <row r="906" ht="30" customHeight="1" spans="1:6">
      <c r="A906" s="5">
        <v>904</v>
      </c>
      <c r="B906" s="5" t="str">
        <f>"36412022010421434781773"</f>
        <v>36412022010421434781773</v>
      </c>
      <c r="C906" s="5" t="s">
        <v>24</v>
      </c>
      <c r="D906" s="5" t="str">
        <f>"王雪翠"</f>
        <v>王雪翠</v>
      </c>
      <c r="E906" s="5" t="str">
        <f t="shared" si="103"/>
        <v>女</v>
      </c>
      <c r="F906" s="5" t="str">
        <f>"黎族"</f>
        <v>黎族</v>
      </c>
    </row>
    <row r="907" ht="30" customHeight="1" spans="1:6">
      <c r="A907" s="5">
        <v>905</v>
      </c>
      <c r="B907" s="5" t="str">
        <f>"36412022010422060481862"</f>
        <v>36412022010422060481862</v>
      </c>
      <c r="C907" s="5" t="s">
        <v>24</v>
      </c>
      <c r="D907" s="5" t="str">
        <f>"秦琴"</f>
        <v>秦琴</v>
      </c>
      <c r="E907" s="5" t="str">
        <f t="shared" si="103"/>
        <v>女</v>
      </c>
      <c r="F907" s="5" t="str">
        <f t="shared" ref="F907:F956" si="104">"汉族"</f>
        <v>汉族</v>
      </c>
    </row>
    <row r="908" ht="30" customHeight="1" spans="1:6">
      <c r="A908" s="5">
        <v>906</v>
      </c>
      <c r="B908" s="5" t="str">
        <f>"36412022010422095081885"</f>
        <v>36412022010422095081885</v>
      </c>
      <c r="C908" s="5" t="s">
        <v>24</v>
      </c>
      <c r="D908" s="5" t="str">
        <f>"吴碧丹"</f>
        <v>吴碧丹</v>
      </c>
      <c r="E908" s="5" t="str">
        <f t="shared" si="103"/>
        <v>女</v>
      </c>
      <c r="F908" s="5" t="str">
        <f t="shared" si="104"/>
        <v>汉族</v>
      </c>
    </row>
    <row r="909" ht="30" customHeight="1" spans="1:6">
      <c r="A909" s="5">
        <v>907</v>
      </c>
      <c r="B909" s="5" t="str">
        <f>"36412022010422103581890"</f>
        <v>36412022010422103581890</v>
      </c>
      <c r="C909" s="5" t="s">
        <v>24</v>
      </c>
      <c r="D909" s="5" t="str">
        <f>"何旺灵"</f>
        <v>何旺灵</v>
      </c>
      <c r="E909" s="5" t="str">
        <f t="shared" si="103"/>
        <v>女</v>
      </c>
      <c r="F909" s="5" t="str">
        <f t="shared" si="104"/>
        <v>汉族</v>
      </c>
    </row>
    <row r="910" ht="30" customHeight="1" spans="1:6">
      <c r="A910" s="5">
        <v>908</v>
      </c>
      <c r="B910" s="5" t="str">
        <f>"36412022010423014782068"</f>
        <v>36412022010423014782068</v>
      </c>
      <c r="C910" s="5" t="s">
        <v>24</v>
      </c>
      <c r="D910" s="5" t="str">
        <f>"陈云芳"</f>
        <v>陈云芳</v>
      </c>
      <c r="E910" s="5" t="str">
        <f t="shared" si="103"/>
        <v>女</v>
      </c>
      <c r="F910" s="5" t="str">
        <f t="shared" si="104"/>
        <v>汉族</v>
      </c>
    </row>
    <row r="911" ht="30" customHeight="1" spans="1:6">
      <c r="A911" s="5">
        <v>909</v>
      </c>
      <c r="B911" s="5" t="str">
        <f>"36412022010423300582152"</f>
        <v>36412022010423300582152</v>
      </c>
      <c r="C911" s="5" t="s">
        <v>24</v>
      </c>
      <c r="D911" s="5" t="str">
        <f>"羊兰花"</f>
        <v>羊兰花</v>
      </c>
      <c r="E911" s="5" t="str">
        <f t="shared" si="103"/>
        <v>女</v>
      </c>
      <c r="F911" s="5" t="str">
        <f t="shared" si="104"/>
        <v>汉族</v>
      </c>
    </row>
    <row r="912" ht="30" customHeight="1" spans="1:6">
      <c r="A912" s="5">
        <v>910</v>
      </c>
      <c r="B912" s="5" t="str">
        <f>"36412022010509265982642"</f>
        <v>36412022010509265982642</v>
      </c>
      <c r="C912" s="5" t="s">
        <v>24</v>
      </c>
      <c r="D912" s="5" t="str">
        <f>"黄美佳"</f>
        <v>黄美佳</v>
      </c>
      <c r="E912" s="5" t="str">
        <f t="shared" si="103"/>
        <v>女</v>
      </c>
      <c r="F912" s="5" t="str">
        <f t="shared" si="104"/>
        <v>汉族</v>
      </c>
    </row>
    <row r="913" ht="30" customHeight="1" spans="1:6">
      <c r="A913" s="5">
        <v>911</v>
      </c>
      <c r="B913" s="5" t="str">
        <f>"36412022010509505282786"</f>
        <v>36412022010509505282786</v>
      </c>
      <c r="C913" s="5" t="s">
        <v>24</v>
      </c>
      <c r="D913" s="5" t="str">
        <f>"吕英春"</f>
        <v>吕英春</v>
      </c>
      <c r="E913" s="5" t="str">
        <f t="shared" si="103"/>
        <v>女</v>
      </c>
      <c r="F913" s="5" t="str">
        <f t="shared" si="104"/>
        <v>汉族</v>
      </c>
    </row>
    <row r="914" ht="30" customHeight="1" spans="1:6">
      <c r="A914" s="5">
        <v>912</v>
      </c>
      <c r="B914" s="5" t="str">
        <f>"36412022010510223082994"</f>
        <v>36412022010510223082994</v>
      </c>
      <c r="C914" s="5" t="s">
        <v>24</v>
      </c>
      <c r="D914" s="5" t="str">
        <f>"彭舒凤"</f>
        <v>彭舒凤</v>
      </c>
      <c r="E914" s="5" t="str">
        <f t="shared" si="103"/>
        <v>女</v>
      </c>
      <c r="F914" s="5" t="str">
        <f t="shared" si="104"/>
        <v>汉族</v>
      </c>
    </row>
    <row r="915" ht="30" customHeight="1" spans="1:6">
      <c r="A915" s="5">
        <v>913</v>
      </c>
      <c r="B915" s="5" t="str">
        <f>"36412022010510295783051"</f>
        <v>36412022010510295783051</v>
      </c>
      <c r="C915" s="5" t="s">
        <v>24</v>
      </c>
      <c r="D915" s="5" t="str">
        <f>"张霞"</f>
        <v>张霞</v>
      </c>
      <c r="E915" s="5" t="str">
        <f t="shared" si="103"/>
        <v>女</v>
      </c>
      <c r="F915" s="5" t="str">
        <f t="shared" si="104"/>
        <v>汉族</v>
      </c>
    </row>
    <row r="916" ht="30" customHeight="1" spans="1:6">
      <c r="A916" s="5">
        <v>914</v>
      </c>
      <c r="B916" s="5" t="str">
        <f>"36412022010510421583133"</f>
        <v>36412022010510421583133</v>
      </c>
      <c r="C916" s="5" t="s">
        <v>24</v>
      </c>
      <c r="D916" s="5" t="str">
        <f>"陈汝萍"</f>
        <v>陈汝萍</v>
      </c>
      <c r="E916" s="5" t="str">
        <f t="shared" si="103"/>
        <v>女</v>
      </c>
      <c r="F916" s="5" t="str">
        <f t="shared" si="104"/>
        <v>汉族</v>
      </c>
    </row>
    <row r="917" ht="30" customHeight="1" spans="1:6">
      <c r="A917" s="5">
        <v>915</v>
      </c>
      <c r="B917" s="5" t="str">
        <f>"36412022010510532583214"</f>
        <v>36412022010510532583214</v>
      </c>
      <c r="C917" s="5" t="s">
        <v>24</v>
      </c>
      <c r="D917" s="5" t="str">
        <f>"韦人菁"</f>
        <v>韦人菁</v>
      </c>
      <c r="E917" s="5" t="str">
        <f t="shared" si="103"/>
        <v>女</v>
      </c>
      <c r="F917" s="5" t="str">
        <f t="shared" si="104"/>
        <v>汉族</v>
      </c>
    </row>
    <row r="918" ht="30" customHeight="1" spans="1:6">
      <c r="A918" s="5">
        <v>916</v>
      </c>
      <c r="B918" s="5" t="str">
        <f>"36412022010511000783268"</f>
        <v>36412022010511000783268</v>
      </c>
      <c r="C918" s="5" t="s">
        <v>24</v>
      </c>
      <c r="D918" s="5" t="str">
        <f>"周吉慧"</f>
        <v>周吉慧</v>
      </c>
      <c r="E918" s="5" t="str">
        <f t="shared" si="103"/>
        <v>女</v>
      </c>
      <c r="F918" s="5" t="str">
        <f t="shared" si="104"/>
        <v>汉族</v>
      </c>
    </row>
    <row r="919" ht="30" customHeight="1" spans="1:6">
      <c r="A919" s="5">
        <v>917</v>
      </c>
      <c r="B919" s="5" t="str">
        <f>"36412022010511155383378"</f>
        <v>36412022010511155383378</v>
      </c>
      <c r="C919" s="5" t="s">
        <v>24</v>
      </c>
      <c r="D919" s="5" t="str">
        <f>"苏玉池"</f>
        <v>苏玉池</v>
      </c>
      <c r="E919" s="5" t="str">
        <f t="shared" si="103"/>
        <v>女</v>
      </c>
      <c r="F919" s="5" t="str">
        <f t="shared" si="104"/>
        <v>汉族</v>
      </c>
    </row>
    <row r="920" ht="30" customHeight="1" spans="1:6">
      <c r="A920" s="5">
        <v>918</v>
      </c>
      <c r="B920" s="5" t="str">
        <f>"36412022010511313883463"</f>
        <v>36412022010511313883463</v>
      </c>
      <c r="C920" s="5" t="s">
        <v>24</v>
      </c>
      <c r="D920" s="5" t="str">
        <f>"吴惠丽"</f>
        <v>吴惠丽</v>
      </c>
      <c r="E920" s="5" t="str">
        <f t="shared" si="103"/>
        <v>女</v>
      </c>
      <c r="F920" s="5" t="str">
        <f t="shared" si="104"/>
        <v>汉族</v>
      </c>
    </row>
    <row r="921" ht="30" customHeight="1" spans="1:6">
      <c r="A921" s="5">
        <v>919</v>
      </c>
      <c r="B921" s="5" t="str">
        <f>"36412022010511444183543"</f>
        <v>36412022010511444183543</v>
      </c>
      <c r="C921" s="5" t="s">
        <v>24</v>
      </c>
      <c r="D921" s="5" t="str">
        <f>"陈小宇"</f>
        <v>陈小宇</v>
      </c>
      <c r="E921" s="5" t="str">
        <f t="shared" si="103"/>
        <v>女</v>
      </c>
      <c r="F921" s="5" t="str">
        <f t="shared" si="104"/>
        <v>汉族</v>
      </c>
    </row>
    <row r="922" ht="30" customHeight="1" spans="1:6">
      <c r="A922" s="5">
        <v>920</v>
      </c>
      <c r="B922" s="5" t="str">
        <f>"36412022010511572583609"</f>
        <v>36412022010511572583609</v>
      </c>
      <c r="C922" s="5" t="s">
        <v>24</v>
      </c>
      <c r="D922" s="5" t="str">
        <f>"吴克娥"</f>
        <v>吴克娥</v>
      </c>
      <c r="E922" s="5" t="str">
        <f t="shared" si="103"/>
        <v>女</v>
      </c>
      <c r="F922" s="5" t="str">
        <f t="shared" si="104"/>
        <v>汉族</v>
      </c>
    </row>
    <row r="923" ht="30" customHeight="1" spans="1:6">
      <c r="A923" s="5">
        <v>921</v>
      </c>
      <c r="B923" s="5" t="str">
        <f>"36412022010512263383723"</f>
        <v>36412022010512263383723</v>
      </c>
      <c r="C923" s="5" t="s">
        <v>24</v>
      </c>
      <c r="D923" s="5" t="str">
        <f>"王玲兰"</f>
        <v>王玲兰</v>
      </c>
      <c r="E923" s="5" t="str">
        <f t="shared" si="103"/>
        <v>女</v>
      </c>
      <c r="F923" s="5" t="str">
        <f t="shared" si="104"/>
        <v>汉族</v>
      </c>
    </row>
    <row r="924" ht="30" customHeight="1" spans="1:6">
      <c r="A924" s="5">
        <v>922</v>
      </c>
      <c r="B924" s="5" t="str">
        <f>"36412022010512593883887"</f>
        <v>36412022010512593883887</v>
      </c>
      <c r="C924" s="5" t="s">
        <v>24</v>
      </c>
      <c r="D924" s="5" t="str">
        <f>"羊井爱"</f>
        <v>羊井爱</v>
      </c>
      <c r="E924" s="5" t="str">
        <f t="shared" si="103"/>
        <v>女</v>
      </c>
      <c r="F924" s="5" t="str">
        <f t="shared" si="104"/>
        <v>汉族</v>
      </c>
    </row>
    <row r="925" ht="30" customHeight="1" spans="1:6">
      <c r="A925" s="5">
        <v>923</v>
      </c>
      <c r="B925" s="5" t="str">
        <f>"36412022010514284384283"</f>
        <v>36412022010514284384283</v>
      </c>
      <c r="C925" s="5" t="s">
        <v>24</v>
      </c>
      <c r="D925" s="5" t="str">
        <f>"陈春杏"</f>
        <v>陈春杏</v>
      </c>
      <c r="E925" s="5" t="str">
        <f t="shared" si="103"/>
        <v>女</v>
      </c>
      <c r="F925" s="5" t="str">
        <f t="shared" si="104"/>
        <v>汉族</v>
      </c>
    </row>
    <row r="926" ht="30" customHeight="1" spans="1:6">
      <c r="A926" s="5">
        <v>924</v>
      </c>
      <c r="B926" s="5" t="str">
        <f>"36412022010514354084314"</f>
        <v>36412022010514354084314</v>
      </c>
      <c r="C926" s="5" t="s">
        <v>24</v>
      </c>
      <c r="D926" s="5" t="str">
        <f>"何海珊"</f>
        <v>何海珊</v>
      </c>
      <c r="E926" s="5" t="str">
        <f t="shared" si="103"/>
        <v>女</v>
      </c>
      <c r="F926" s="5" t="str">
        <f t="shared" si="104"/>
        <v>汉族</v>
      </c>
    </row>
    <row r="927" ht="30" customHeight="1" spans="1:6">
      <c r="A927" s="5">
        <v>925</v>
      </c>
      <c r="B927" s="5" t="str">
        <f>"36412022010515395484688"</f>
        <v>36412022010515395484688</v>
      </c>
      <c r="C927" s="5" t="s">
        <v>24</v>
      </c>
      <c r="D927" s="5" t="str">
        <f>"陈水云"</f>
        <v>陈水云</v>
      </c>
      <c r="E927" s="5" t="str">
        <f t="shared" si="103"/>
        <v>女</v>
      </c>
      <c r="F927" s="5" t="str">
        <f t="shared" si="104"/>
        <v>汉族</v>
      </c>
    </row>
    <row r="928" ht="30" customHeight="1" spans="1:6">
      <c r="A928" s="5">
        <v>926</v>
      </c>
      <c r="B928" s="5" t="str">
        <f>"36412022010516075084833"</f>
        <v>36412022010516075084833</v>
      </c>
      <c r="C928" s="5" t="s">
        <v>24</v>
      </c>
      <c r="D928" s="5" t="str">
        <f>"邢增菊"</f>
        <v>邢增菊</v>
      </c>
      <c r="E928" s="5" t="str">
        <f t="shared" si="103"/>
        <v>女</v>
      </c>
      <c r="F928" s="5" t="str">
        <f t="shared" si="104"/>
        <v>汉族</v>
      </c>
    </row>
    <row r="929" ht="30" customHeight="1" spans="1:6">
      <c r="A929" s="5">
        <v>927</v>
      </c>
      <c r="B929" s="5" t="str">
        <f>"36412022010517202785194"</f>
        <v>36412022010517202785194</v>
      </c>
      <c r="C929" s="5" t="s">
        <v>24</v>
      </c>
      <c r="D929" s="5" t="str">
        <f>"李小菲"</f>
        <v>李小菲</v>
      </c>
      <c r="E929" s="5" t="str">
        <f t="shared" si="103"/>
        <v>女</v>
      </c>
      <c r="F929" s="5" t="str">
        <f t="shared" si="104"/>
        <v>汉族</v>
      </c>
    </row>
    <row r="930" ht="30" customHeight="1" spans="1:6">
      <c r="A930" s="5">
        <v>928</v>
      </c>
      <c r="B930" s="5" t="str">
        <f>"36412022010517212085196"</f>
        <v>36412022010517212085196</v>
      </c>
      <c r="C930" s="5" t="s">
        <v>24</v>
      </c>
      <c r="D930" s="5" t="str">
        <f>"王惠琳"</f>
        <v>王惠琳</v>
      </c>
      <c r="E930" s="5" t="str">
        <f t="shared" si="103"/>
        <v>女</v>
      </c>
      <c r="F930" s="5" t="str">
        <f t="shared" si="104"/>
        <v>汉族</v>
      </c>
    </row>
    <row r="931" ht="30" customHeight="1" spans="1:6">
      <c r="A931" s="5">
        <v>929</v>
      </c>
      <c r="B931" s="5" t="str">
        <f>"36412022010519005385553"</f>
        <v>36412022010519005385553</v>
      </c>
      <c r="C931" s="5" t="s">
        <v>24</v>
      </c>
      <c r="D931" s="5" t="str">
        <f>"郭文婷"</f>
        <v>郭文婷</v>
      </c>
      <c r="E931" s="5" t="str">
        <f t="shared" si="103"/>
        <v>女</v>
      </c>
      <c r="F931" s="5" t="str">
        <f t="shared" si="104"/>
        <v>汉族</v>
      </c>
    </row>
    <row r="932" ht="30" customHeight="1" spans="1:6">
      <c r="A932" s="5">
        <v>930</v>
      </c>
      <c r="B932" s="5" t="str">
        <f>"36412022010519173485622"</f>
        <v>36412022010519173485622</v>
      </c>
      <c r="C932" s="5" t="s">
        <v>24</v>
      </c>
      <c r="D932" s="5" t="str">
        <f>"杨冬雪"</f>
        <v>杨冬雪</v>
      </c>
      <c r="E932" s="5" t="str">
        <f t="shared" si="103"/>
        <v>女</v>
      </c>
      <c r="F932" s="5" t="str">
        <f t="shared" si="104"/>
        <v>汉族</v>
      </c>
    </row>
    <row r="933" ht="30" customHeight="1" spans="1:6">
      <c r="A933" s="5">
        <v>931</v>
      </c>
      <c r="B933" s="5" t="str">
        <f>"36412022010520304885943"</f>
        <v>36412022010520304885943</v>
      </c>
      <c r="C933" s="5" t="s">
        <v>24</v>
      </c>
      <c r="D933" s="5" t="str">
        <f>"王义平"</f>
        <v>王义平</v>
      </c>
      <c r="E933" s="5" t="str">
        <f>"男"</f>
        <v>男</v>
      </c>
      <c r="F933" s="5" t="str">
        <f t="shared" si="104"/>
        <v>汉族</v>
      </c>
    </row>
    <row r="934" ht="30" customHeight="1" spans="1:6">
      <c r="A934" s="5">
        <v>932</v>
      </c>
      <c r="B934" s="5" t="str">
        <f>"36412022010521024486094"</f>
        <v>36412022010521024486094</v>
      </c>
      <c r="C934" s="5" t="s">
        <v>24</v>
      </c>
      <c r="D934" s="5" t="str">
        <f>"陈熙文"</f>
        <v>陈熙文</v>
      </c>
      <c r="E934" s="5" t="str">
        <f t="shared" ref="E934:E949" si="105">"女"</f>
        <v>女</v>
      </c>
      <c r="F934" s="5" t="str">
        <f t="shared" si="104"/>
        <v>汉族</v>
      </c>
    </row>
    <row r="935" ht="30" customHeight="1" spans="1:6">
      <c r="A935" s="5">
        <v>933</v>
      </c>
      <c r="B935" s="5" t="str">
        <f>"36412022010522122686416"</f>
        <v>36412022010522122686416</v>
      </c>
      <c r="C935" s="5" t="s">
        <v>24</v>
      </c>
      <c r="D935" s="5" t="str">
        <f>"骆美妍"</f>
        <v>骆美妍</v>
      </c>
      <c r="E935" s="5" t="str">
        <f t="shared" si="105"/>
        <v>女</v>
      </c>
      <c r="F935" s="5" t="str">
        <f t="shared" si="104"/>
        <v>汉族</v>
      </c>
    </row>
    <row r="936" ht="30" customHeight="1" spans="1:6">
      <c r="A936" s="5">
        <v>934</v>
      </c>
      <c r="B936" s="5" t="str">
        <f>"36412022010600325486747"</f>
        <v>36412022010600325486747</v>
      </c>
      <c r="C936" s="5" t="s">
        <v>24</v>
      </c>
      <c r="D936" s="5" t="str">
        <f>"陈明媚"</f>
        <v>陈明媚</v>
      </c>
      <c r="E936" s="5" t="str">
        <f t="shared" si="105"/>
        <v>女</v>
      </c>
      <c r="F936" s="5" t="str">
        <f t="shared" si="104"/>
        <v>汉族</v>
      </c>
    </row>
    <row r="937" ht="30" customHeight="1" spans="1:6">
      <c r="A937" s="5">
        <v>935</v>
      </c>
      <c r="B937" s="5" t="str">
        <f>"36412022010609314987076"</f>
        <v>36412022010609314987076</v>
      </c>
      <c r="C937" s="5" t="s">
        <v>24</v>
      </c>
      <c r="D937" s="5" t="str">
        <f>"董婷"</f>
        <v>董婷</v>
      </c>
      <c r="E937" s="5" t="str">
        <f t="shared" si="105"/>
        <v>女</v>
      </c>
      <c r="F937" s="5" t="str">
        <f t="shared" si="104"/>
        <v>汉族</v>
      </c>
    </row>
    <row r="938" ht="30" customHeight="1" spans="1:6">
      <c r="A938" s="5">
        <v>936</v>
      </c>
      <c r="B938" s="5" t="str">
        <f>"36412022010610411887406"</f>
        <v>36412022010610411887406</v>
      </c>
      <c r="C938" s="5" t="s">
        <v>24</v>
      </c>
      <c r="D938" s="5" t="str">
        <f>"张奕奕"</f>
        <v>张奕奕</v>
      </c>
      <c r="E938" s="5" t="str">
        <f t="shared" si="105"/>
        <v>女</v>
      </c>
      <c r="F938" s="5" t="str">
        <f t="shared" si="104"/>
        <v>汉族</v>
      </c>
    </row>
    <row r="939" ht="30" customHeight="1" spans="1:6">
      <c r="A939" s="5">
        <v>937</v>
      </c>
      <c r="B939" s="5" t="str">
        <f>"36412022010611590887755"</f>
        <v>36412022010611590887755</v>
      </c>
      <c r="C939" s="5" t="s">
        <v>24</v>
      </c>
      <c r="D939" s="5" t="str">
        <f>"羊丽霞"</f>
        <v>羊丽霞</v>
      </c>
      <c r="E939" s="5" t="str">
        <f t="shared" si="105"/>
        <v>女</v>
      </c>
      <c r="F939" s="5" t="str">
        <f t="shared" si="104"/>
        <v>汉族</v>
      </c>
    </row>
    <row r="940" ht="30" customHeight="1" spans="1:6">
      <c r="A940" s="5">
        <v>938</v>
      </c>
      <c r="B940" s="5" t="str">
        <f>"36412022010614351688356"</f>
        <v>36412022010614351688356</v>
      </c>
      <c r="C940" s="5" t="s">
        <v>24</v>
      </c>
      <c r="D940" s="5" t="str">
        <f>"谢欢"</f>
        <v>谢欢</v>
      </c>
      <c r="E940" s="5" t="str">
        <f t="shared" si="105"/>
        <v>女</v>
      </c>
      <c r="F940" s="5" t="str">
        <f t="shared" si="104"/>
        <v>汉族</v>
      </c>
    </row>
    <row r="941" ht="30" customHeight="1" spans="1:6">
      <c r="A941" s="5">
        <v>939</v>
      </c>
      <c r="B941" s="5" t="str">
        <f>"36412022010615081688489"</f>
        <v>36412022010615081688489</v>
      </c>
      <c r="C941" s="5" t="s">
        <v>24</v>
      </c>
      <c r="D941" s="5" t="str">
        <f>"文潇"</f>
        <v>文潇</v>
      </c>
      <c r="E941" s="5" t="str">
        <f t="shared" si="105"/>
        <v>女</v>
      </c>
      <c r="F941" s="5" t="str">
        <f t="shared" si="104"/>
        <v>汉族</v>
      </c>
    </row>
    <row r="942" ht="30" customHeight="1" spans="1:6">
      <c r="A942" s="5">
        <v>940</v>
      </c>
      <c r="B942" s="5" t="str">
        <f>"36412022010615240288560"</f>
        <v>36412022010615240288560</v>
      </c>
      <c r="C942" s="5" t="s">
        <v>24</v>
      </c>
      <c r="D942" s="5" t="str">
        <f>"姜楠"</f>
        <v>姜楠</v>
      </c>
      <c r="E942" s="5" t="str">
        <f t="shared" si="105"/>
        <v>女</v>
      </c>
      <c r="F942" s="5" t="str">
        <f t="shared" si="104"/>
        <v>汉族</v>
      </c>
    </row>
    <row r="943" ht="30" customHeight="1" spans="1:6">
      <c r="A943" s="5">
        <v>941</v>
      </c>
      <c r="B943" s="5" t="str">
        <f>"36412022010616040188760"</f>
        <v>36412022010616040188760</v>
      </c>
      <c r="C943" s="5" t="s">
        <v>24</v>
      </c>
      <c r="D943" s="5" t="str">
        <f>"吴泳莉"</f>
        <v>吴泳莉</v>
      </c>
      <c r="E943" s="5" t="str">
        <f t="shared" si="105"/>
        <v>女</v>
      </c>
      <c r="F943" s="5" t="str">
        <f t="shared" si="104"/>
        <v>汉族</v>
      </c>
    </row>
    <row r="944" ht="30" customHeight="1" spans="1:6">
      <c r="A944" s="5">
        <v>942</v>
      </c>
      <c r="B944" s="5" t="str">
        <f>"36412022010616420288960"</f>
        <v>36412022010616420288960</v>
      </c>
      <c r="C944" s="5" t="s">
        <v>24</v>
      </c>
      <c r="D944" s="5" t="str">
        <f>"文丽春"</f>
        <v>文丽春</v>
      </c>
      <c r="E944" s="5" t="str">
        <f t="shared" si="105"/>
        <v>女</v>
      </c>
      <c r="F944" s="5" t="str">
        <f t="shared" si="104"/>
        <v>汉族</v>
      </c>
    </row>
    <row r="945" ht="30" customHeight="1" spans="1:6">
      <c r="A945" s="5">
        <v>943</v>
      </c>
      <c r="B945" s="5" t="str">
        <f>"36412022010617481789205"</f>
        <v>36412022010617481789205</v>
      </c>
      <c r="C945" s="5" t="s">
        <v>24</v>
      </c>
      <c r="D945" s="5" t="str">
        <f>"陈慧敏"</f>
        <v>陈慧敏</v>
      </c>
      <c r="E945" s="5" t="str">
        <f t="shared" si="105"/>
        <v>女</v>
      </c>
      <c r="F945" s="5" t="str">
        <f t="shared" si="104"/>
        <v>汉族</v>
      </c>
    </row>
    <row r="946" ht="30" customHeight="1" spans="1:6">
      <c r="A946" s="5">
        <v>944</v>
      </c>
      <c r="B946" s="5" t="str">
        <f>"36412022010619435289558"</f>
        <v>36412022010619435289558</v>
      </c>
      <c r="C946" s="5" t="s">
        <v>24</v>
      </c>
      <c r="D946" s="5" t="str">
        <f>"陈子妍"</f>
        <v>陈子妍</v>
      </c>
      <c r="E946" s="5" t="str">
        <f t="shared" si="105"/>
        <v>女</v>
      </c>
      <c r="F946" s="5" t="str">
        <f t="shared" si="104"/>
        <v>汉族</v>
      </c>
    </row>
    <row r="947" ht="30" customHeight="1" spans="1:6">
      <c r="A947" s="5">
        <v>945</v>
      </c>
      <c r="B947" s="5" t="str">
        <f>"36412022010619544389603"</f>
        <v>36412022010619544389603</v>
      </c>
      <c r="C947" s="5" t="s">
        <v>24</v>
      </c>
      <c r="D947" s="5" t="str">
        <f>"郭学坤"</f>
        <v>郭学坤</v>
      </c>
      <c r="E947" s="5" t="str">
        <f t="shared" si="105"/>
        <v>女</v>
      </c>
      <c r="F947" s="5" t="str">
        <f t="shared" si="104"/>
        <v>汉族</v>
      </c>
    </row>
    <row r="948" ht="30" customHeight="1" spans="1:6">
      <c r="A948" s="5">
        <v>946</v>
      </c>
      <c r="B948" s="5" t="str">
        <f>"36412022010621125389873"</f>
        <v>36412022010621125389873</v>
      </c>
      <c r="C948" s="5" t="s">
        <v>24</v>
      </c>
      <c r="D948" s="5" t="str">
        <f>"黄祥姑"</f>
        <v>黄祥姑</v>
      </c>
      <c r="E948" s="5" t="str">
        <f t="shared" si="105"/>
        <v>女</v>
      </c>
      <c r="F948" s="5" t="str">
        <f t="shared" si="104"/>
        <v>汉族</v>
      </c>
    </row>
    <row r="949" ht="30" customHeight="1" spans="1:6">
      <c r="A949" s="5">
        <v>947</v>
      </c>
      <c r="B949" s="5" t="str">
        <f>"36412022010621425189991"</f>
        <v>36412022010621425189991</v>
      </c>
      <c r="C949" s="5" t="s">
        <v>24</v>
      </c>
      <c r="D949" s="5" t="str">
        <f>"韩艳虹"</f>
        <v>韩艳虹</v>
      </c>
      <c r="E949" s="5" t="str">
        <f t="shared" si="105"/>
        <v>女</v>
      </c>
      <c r="F949" s="5" t="str">
        <f t="shared" si="104"/>
        <v>汉族</v>
      </c>
    </row>
    <row r="950" ht="30" customHeight="1" spans="1:6">
      <c r="A950" s="5">
        <v>948</v>
      </c>
      <c r="B950" s="5" t="str">
        <f>"36412022010621443589998"</f>
        <v>36412022010621443589998</v>
      </c>
      <c r="C950" s="5" t="s">
        <v>24</v>
      </c>
      <c r="D950" s="5" t="str">
        <f>"汤昌弟"</f>
        <v>汤昌弟</v>
      </c>
      <c r="E950" s="5" t="str">
        <f>"男"</f>
        <v>男</v>
      </c>
      <c r="F950" s="5" t="str">
        <f t="shared" si="104"/>
        <v>汉族</v>
      </c>
    </row>
    <row r="951" ht="30" customHeight="1" spans="1:6">
      <c r="A951" s="5">
        <v>949</v>
      </c>
      <c r="B951" s="5" t="str">
        <f>"36412022010623463390348"</f>
        <v>36412022010623463390348</v>
      </c>
      <c r="C951" s="5" t="s">
        <v>24</v>
      </c>
      <c r="D951" s="5" t="str">
        <f>"张秀萍"</f>
        <v>张秀萍</v>
      </c>
      <c r="E951" s="5" t="str">
        <f t="shared" ref="E951:E956" si="106">"女"</f>
        <v>女</v>
      </c>
      <c r="F951" s="5" t="str">
        <f t="shared" si="104"/>
        <v>汉族</v>
      </c>
    </row>
    <row r="952" ht="30" customHeight="1" spans="1:6">
      <c r="A952" s="5">
        <v>950</v>
      </c>
      <c r="B952" s="5" t="str">
        <f>"36412022010708401390551"</f>
        <v>36412022010708401390551</v>
      </c>
      <c r="C952" s="5" t="s">
        <v>24</v>
      </c>
      <c r="D952" s="5" t="str">
        <f>"马晓梅"</f>
        <v>马晓梅</v>
      </c>
      <c r="E952" s="5" t="str">
        <f t="shared" si="106"/>
        <v>女</v>
      </c>
      <c r="F952" s="5" t="str">
        <f t="shared" si="104"/>
        <v>汉族</v>
      </c>
    </row>
    <row r="953" ht="30" customHeight="1" spans="1:6">
      <c r="A953" s="5">
        <v>951</v>
      </c>
      <c r="B953" s="5" t="str">
        <f>"36412022010709302590678"</f>
        <v>36412022010709302590678</v>
      </c>
      <c r="C953" s="5" t="s">
        <v>24</v>
      </c>
      <c r="D953" s="5" t="str">
        <f>"温伯婵"</f>
        <v>温伯婵</v>
      </c>
      <c r="E953" s="5" t="str">
        <f t="shared" si="106"/>
        <v>女</v>
      </c>
      <c r="F953" s="5" t="str">
        <f t="shared" si="104"/>
        <v>汉族</v>
      </c>
    </row>
    <row r="954" ht="30" customHeight="1" spans="1:6">
      <c r="A954" s="5">
        <v>952</v>
      </c>
      <c r="B954" s="5" t="str">
        <f>"36412022010710470890962"</f>
        <v>36412022010710470890962</v>
      </c>
      <c r="C954" s="5" t="s">
        <v>24</v>
      </c>
      <c r="D954" s="5" t="str">
        <f>"王晓雯"</f>
        <v>王晓雯</v>
      </c>
      <c r="E954" s="5" t="str">
        <f t="shared" si="106"/>
        <v>女</v>
      </c>
      <c r="F954" s="5" t="str">
        <f t="shared" si="104"/>
        <v>汉族</v>
      </c>
    </row>
    <row r="955" ht="30" customHeight="1" spans="1:6">
      <c r="A955" s="5">
        <v>953</v>
      </c>
      <c r="B955" s="5" t="str">
        <f>"36412022010712380891387"</f>
        <v>36412022010712380891387</v>
      </c>
      <c r="C955" s="5" t="s">
        <v>24</v>
      </c>
      <c r="D955" s="5" t="str">
        <f>"王翠炳"</f>
        <v>王翠炳</v>
      </c>
      <c r="E955" s="5" t="str">
        <f t="shared" si="106"/>
        <v>女</v>
      </c>
      <c r="F955" s="5" t="str">
        <f t="shared" si="104"/>
        <v>汉族</v>
      </c>
    </row>
    <row r="956" ht="30" customHeight="1" spans="1:6">
      <c r="A956" s="5">
        <v>954</v>
      </c>
      <c r="B956" s="5" t="str">
        <f>"36412022010717420692449"</f>
        <v>36412022010717420692449</v>
      </c>
      <c r="C956" s="5" t="s">
        <v>24</v>
      </c>
      <c r="D956" s="5" t="str">
        <f>"谢静敏"</f>
        <v>谢静敏</v>
      </c>
      <c r="E956" s="5" t="str">
        <f t="shared" si="106"/>
        <v>女</v>
      </c>
      <c r="F956" s="5" t="str">
        <f t="shared" si="104"/>
        <v>汉族</v>
      </c>
    </row>
    <row r="957" ht="30" customHeight="1" spans="1:6">
      <c r="A957" s="5">
        <v>955</v>
      </c>
      <c r="B957" s="5" t="str">
        <f>"36412022010718124392500"</f>
        <v>36412022010718124392500</v>
      </c>
      <c r="C957" s="5" t="s">
        <v>24</v>
      </c>
      <c r="D957" s="5" t="str">
        <f>"卓毛朝"</f>
        <v>卓毛朝</v>
      </c>
      <c r="E957" s="5" t="str">
        <f>"男"</f>
        <v>男</v>
      </c>
      <c r="F957" s="5" t="str">
        <f>"黎族"</f>
        <v>黎族</v>
      </c>
    </row>
    <row r="958" ht="30" customHeight="1" spans="1:6">
      <c r="A958" s="5">
        <v>956</v>
      </c>
      <c r="B958" s="5" t="str">
        <f>"36412022010718432692568"</f>
        <v>36412022010718432692568</v>
      </c>
      <c r="C958" s="5" t="s">
        <v>24</v>
      </c>
      <c r="D958" s="5" t="str">
        <f>"杜晓莹"</f>
        <v>杜晓莹</v>
      </c>
      <c r="E958" s="5" t="str">
        <f t="shared" ref="E958:E998" si="107">"女"</f>
        <v>女</v>
      </c>
      <c r="F958" s="5" t="str">
        <f>"汉族"</f>
        <v>汉族</v>
      </c>
    </row>
    <row r="959" ht="30" customHeight="1" spans="1:6">
      <c r="A959" s="5">
        <v>957</v>
      </c>
      <c r="B959" s="5" t="str">
        <f>"36412022010719395592661"</f>
        <v>36412022010719395592661</v>
      </c>
      <c r="C959" s="5" t="s">
        <v>24</v>
      </c>
      <c r="D959" s="5" t="str">
        <f>"董杏妍"</f>
        <v>董杏妍</v>
      </c>
      <c r="E959" s="5" t="str">
        <f t="shared" si="107"/>
        <v>女</v>
      </c>
      <c r="F959" s="5" t="str">
        <f>"黎族"</f>
        <v>黎族</v>
      </c>
    </row>
    <row r="960" ht="30" customHeight="1" spans="1:6">
      <c r="A960" s="5">
        <v>958</v>
      </c>
      <c r="B960" s="5" t="str">
        <f>"36412022010720190092733"</f>
        <v>36412022010720190092733</v>
      </c>
      <c r="C960" s="5" t="s">
        <v>24</v>
      </c>
      <c r="D960" s="5" t="str">
        <f>"林丽媛"</f>
        <v>林丽媛</v>
      </c>
      <c r="E960" s="5" t="str">
        <f t="shared" si="107"/>
        <v>女</v>
      </c>
      <c r="F960" s="5" t="str">
        <f>"汉族"</f>
        <v>汉族</v>
      </c>
    </row>
    <row r="961" ht="30" customHeight="1" spans="1:6">
      <c r="A961" s="5">
        <v>959</v>
      </c>
      <c r="B961" s="5" t="str">
        <f>"36412022010721114892818"</f>
        <v>36412022010721114892818</v>
      </c>
      <c r="C961" s="5" t="s">
        <v>24</v>
      </c>
      <c r="D961" s="5" t="str">
        <f>"王春蕊"</f>
        <v>王春蕊</v>
      </c>
      <c r="E961" s="5" t="str">
        <f t="shared" si="107"/>
        <v>女</v>
      </c>
      <c r="F961" s="5" t="str">
        <f>"汉族"</f>
        <v>汉族</v>
      </c>
    </row>
    <row r="962" ht="30" customHeight="1" spans="1:6">
      <c r="A962" s="5">
        <v>960</v>
      </c>
      <c r="B962" s="5" t="str">
        <f>"36412022010721244892840"</f>
        <v>36412022010721244892840</v>
      </c>
      <c r="C962" s="5" t="s">
        <v>24</v>
      </c>
      <c r="D962" s="5" t="str">
        <f>"陈春蓉"</f>
        <v>陈春蓉</v>
      </c>
      <c r="E962" s="5" t="str">
        <f t="shared" si="107"/>
        <v>女</v>
      </c>
      <c r="F962" s="5" t="str">
        <f>"汉族"</f>
        <v>汉族</v>
      </c>
    </row>
    <row r="963" ht="30" customHeight="1" spans="1:6">
      <c r="A963" s="5">
        <v>961</v>
      </c>
      <c r="B963" s="5" t="str">
        <f>"36412022010808502693116"</f>
        <v>36412022010808502693116</v>
      </c>
      <c r="C963" s="5" t="s">
        <v>24</v>
      </c>
      <c r="D963" s="5" t="str">
        <f>"邓敏"</f>
        <v>邓敏</v>
      </c>
      <c r="E963" s="5" t="str">
        <f t="shared" si="107"/>
        <v>女</v>
      </c>
      <c r="F963" s="5" t="str">
        <f>"汉族"</f>
        <v>汉族</v>
      </c>
    </row>
    <row r="964" ht="30" customHeight="1" spans="1:6">
      <c r="A964" s="5">
        <v>962</v>
      </c>
      <c r="B964" s="5" t="str">
        <f>"36412022010809392693159"</f>
        <v>36412022010809392693159</v>
      </c>
      <c r="C964" s="5" t="s">
        <v>24</v>
      </c>
      <c r="D964" s="5" t="str">
        <f>"李依锦"</f>
        <v>李依锦</v>
      </c>
      <c r="E964" s="5" t="str">
        <f t="shared" si="107"/>
        <v>女</v>
      </c>
      <c r="F964" s="5" t="str">
        <f>"汉族"</f>
        <v>汉族</v>
      </c>
    </row>
    <row r="965" ht="30" customHeight="1" spans="1:6">
      <c r="A965" s="5">
        <v>963</v>
      </c>
      <c r="B965" s="5" t="str">
        <f>"36412022010811265593301"</f>
        <v>36412022010811265593301</v>
      </c>
      <c r="C965" s="5" t="s">
        <v>24</v>
      </c>
      <c r="D965" s="5" t="str">
        <f>"符利静"</f>
        <v>符利静</v>
      </c>
      <c r="E965" s="5" t="str">
        <f t="shared" si="107"/>
        <v>女</v>
      </c>
      <c r="F965" s="5" t="str">
        <f>"黎族"</f>
        <v>黎族</v>
      </c>
    </row>
    <row r="966" ht="30" customHeight="1" spans="1:6">
      <c r="A966" s="5">
        <v>964</v>
      </c>
      <c r="B966" s="5" t="str">
        <f>"36412022010815505793664"</f>
        <v>36412022010815505793664</v>
      </c>
      <c r="C966" s="5" t="s">
        <v>24</v>
      </c>
      <c r="D966" s="5" t="str">
        <f>"陈敏"</f>
        <v>陈敏</v>
      </c>
      <c r="E966" s="5" t="str">
        <f t="shared" si="107"/>
        <v>女</v>
      </c>
      <c r="F966" s="5" t="str">
        <f>"黎族"</f>
        <v>黎族</v>
      </c>
    </row>
    <row r="967" ht="30" customHeight="1" spans="1:6">
      <c r="A967" s="5">
        <v>965</v>
      </c>
      <c r="B967" s="5" t="str">
        <f>"36412022010817253893820"</f>
        <v>36412022010817253893820</v>
      </c>
      <c r="C967" s="5" t="s">
        <v>24</v>
      </c>
      <c r="D967" s="5" t="str">
        <f>"陈尼"</f>
        <v>陈尼</v>
      </c>
      <c r="E967" s="5" t="str">
        <f t="shared" si="107"/>
        <v>女</v>
      </c>
      <c r="F967" s="5" t="str">
        <f t="shared" ref="F967:F975" si="108">"汉族"</f>
        <v>汉族</v>
      </c>
    </row>
    <row r="968" ht="30" customHeight="1" spans="1:6">
      <c r="A968" s="5">
        <v>966</v>
      </c>
      <c r="B968" s="5" t="str">
        <f>"36412022010819131193984"</f>
        <v>36412022010819131193984</v>
      </c>
      <c r="C968" s="5" t="s">
        <v>24</v>
      </c>
      <c r="D968" s="5" t="str">
        <f>"欧娇婉"</f>
        <v>欧娇婉</v>
      </c>
      <c r="E968" s="5" t="str">
        <f t="shared" si="107"/>
        <v>女</v>
      </c>
      <c r="F968" s="5" t="str">
        <f t="shared" si="108"/>
        <v>汉族</v>
      </c>
    </row>
    <row r="969" ht="30" customHeight="1" spans="1:6">
      <c r="A969" s="5">
        <v>967</v>
      </c>
      <c r="B969" s="5" t="str">
        <f>"36412022010821133594222"</f>
        <v>36412022010821133594222</v>
      </c>
      <c r="C969" s="5" t="s">
        <v>24</v>
      </c>
      <c r="D969" s="5" t="str">
        <f>"黄裕敏"</f>
        <v>黄裕敏</v>
      </c>
      <c r="E969" s="5" t="str">
        <f t="shared" si="107"/>
        <v>女</v>
      </c>
      <c r="F969" s="5" t="str">
        <f t="shared" si="108"/>
        <v>汉族</v>
      </c>
    </row>
    <row r="970" ht="30" customHeight="1" spans="1:6">
      <c r="A970" s="5">
        <v>968</v>
      </c>
      <c r="B970" s="5" t="str">
        <f>"36412022010821174894236"</f>
        <v>36412022010821174894236</v>
      </c>
      <c r="C970" s="5" t="s">
        <v>24</v>
      </c>
      <c r="D970" s="5" t="str">
        <f>"黎倩妮"</f>
        <v>黎倩妮</v>
      </c>
      <c r="E970" s="5" t="str">
        <f t="shared" si="107"/>
        <v>女</v>
      </c>
      <c r="F970" s="5" t="str">
        <f t="shared" si="108"/>
        <v>汉族</v>
      </c>
    </row>
    <row r="971" ht="30" customHeight="1" spans="1:6">
      <c r="A971" s="5">
        <v>969</v>
      </c>
      <c r="B971" s="5" t="str">
        <f>"36412022010823273294479"</f>
        <v>36412022010823273294479</v>
      </c>
      <c r="C971" s="5" t="s">
        <v>24</v>
      </c>
      <c r="D971" s="5" t="str">
        <f>"陈莹莹"</f>
        <v>陈莹莹</v>
      </c>
      <c r="E971" s="5" t="str">
        <f t="shared" si="107"/>
        <v>女</v>
      </c>
      <c r="F971" s="5" t="str">
        <f t="shared" si="108"/>
        <v>汉族</v>
      </c>
    </row>
    <row r="972" ht="30" customHeight="1" spans="1:6">
      <c r="A972" s="5">
        <v>970</v>
      </c>
      <c r="B972" s="5" t="str">
        <f>"36412022010823373394494"</f>
        <v>36412022010823373394494</v>
      </c>
      <c r="C972" s="5" t="s">
        <v>24</v>
      </c>
      <c r="D972" s="5" t="str">
        <f>"梁恩雪"</f>
        <v>梁恩雪</v>
      </c>
      <c r="E972" s="5" t="str">
        <f t="shared" si="107"/>
        <v>女</v>
      </c>
      <c r="F972" s="5" t="str">
        <f t="shared" si="108"/>
        <v>汉族</v>
      </c>
    </row>
    <row r="973" ht="30" customHeight="1" spans="1:6">
      <c r="A973" s="5">
        <v>971</v>
      </c>
      <c r="B973" s="5" t="str">
        <f>"36412022010900042194525"</f>
        <v>36412022010900042194525</v>
      </c>
      <c r="C973" s="5" t="s">
        <v>24</v>
      </c>
      <c r="D973" s="5" t="str">
        <f>"刘子铭"</f>
        <v>刘子铭</v>
      </c>
      <c r="E973" s="5" t="str">
        <f t="shared" si="107"/>
        <v>女</v>
      </c>
      <c r="F973" s="5" t="str">
        <f t="shared" si="108"/>
        <v>汉族</v>
      </c>
    </row>
    <row r="974" ht="30" customHeight="1" spans="1:6">
      <c r="A974" s="5">
        <v>972</v>
      </c>
      <c r="B974" s="5" t="str">
        <f>"36412022010908492694617"</f>
        <v>36412022010908492694617</v>
      </c>
      <c r="C974" s="5" t="s">
        <v>24</v>
      </c>
      <c r="D974" s="5" t="str">
        <f>"郭玲珠"</f>
        <v>郭玲珠</v>
      </c>
      <c r="E974" s="5" t="str">
        <f t="shared" si="107"/>
        <v>女</v>
      </c>
      <c r="F974" s="5" t="str">
        <f t="shared" si="108"/>
        <v>汉族</v>
      </c>
    </row>
    <row r="975" ht="30" customHeight="1" spans="1:6">
      <c r="A975" s="5">
        <v>973</v>
      </c>
      <c r="B975" s="5" t="str">
        <f>"36412022010910354494782"</f>
        <v>36412022010910354494782</v>
      </c>
      <c r="C975" s="5" t="s">
        <v>24</v>
      </c>
      <c r="D975" s="5" t="str">
        <f>"陈冰"</f>
        <v>陈冰</v>
      </c>
      <c r="E975" s="5" t="str">
        <f t="shared" si="107"/>
        <v>女</v>
      </c>
      <c r="F975" s="5" t="str">
        <f t="shared" si="108"/>
        <v>汉族</v>
      </c>
    </row>
    <row r="976" ht="30" customHeight="1" spans="1:6">
      <c r="A976" s="5">
        <v>974</v>
      </c>
      <c r="B976" s="5" t="str">
        <f>"36412022010911012794863"</f>
        <v>36412022010911012794863</v>
      </c>
      <c r="C976" s="5" t="s">
        <v>24</v>
      </c>
      <c r="D976" s="5" t="str">
        <f>"王雪花"</f>
        <v>王雪花</v>
      </c>
      <c r="E976" s="5" t="str">
        <f t="shared" si="107"/>
        <v>女</v>
      </c>
      <c r="F976" s="5" t="str">
        <f>"黎族"</f>
        <v>黎族</v>
      </c>
    </row>
    <row r="977" ht="30" customHeight="1" spans="1:6">
      <c r="A977" s="5">
        <v>975</v>
      </c>
      <c r="B977" s="5" t="str">
        <f>"36412022010911101794882"</f>
        <v>36412022010911101794882</v>
      </c>
      <c r="C977" s="5" t="s">
        <v>24</v>
      </c>
      <c r="D977" s="5" t="str">
        <f>"黄永芳"</f>
        <v>黄永芳</v>
      </c>
      <c r="E977" s="5" t="str">
        <f t="shared" si="107"/>
        <v>女</v>
      </c>
      <c r="F977" s="5" t="str">
        <f>"汉族"</f>
        <v>汉族</v>
      </c>
    </row>
    <row r="978" ht="30" customHeight="1" spans="1:6">
      <c r="A978" s="5">
        <v>976</v>
      </c>
      <c r="B978" s="5" t="str">
        <f>"36412022010911380694974"</f>
        <v>36412022010911380694974</v>
      </c>
      <c r="C978" s="5" t="s">
        <v>24</v>
      </c>
      <c r="D978" s="5" t="str">
        <f>"何尾月"</f>
        <v>何尾月</v>
      </c>
      <c r="E978" s="5" t="str">
        <f t="shared" si="107"/>
        <v>女</v>
      </c>
      <c r="F978" s="5" t="str">
        <f>"汉族"</f>
        <v>汉族</v>
      </c>
    </row>
    <row r="979" ht="30" customHeight="1" spans="1:6">
      <c r="A979" s="5">
        <v>977</v>
      </c>
      <c r="B979" s="5" t="str">
        <f>"36412022010915171095420"</f>
        <v>36412022010915171095420</v>
      </c>
      <c r="C979" s="5" t="s">
        <v>24</v>
      </c>
      <c r="D979" s="5" t="str">
        <f>"刘晓欢"</f>
        <v>刘晓欢</v>
      </c>
      <c r="E979" s="5" t="str">
        <f t="shared" si="107"/>
        <v>女</v>
      </c>
      <c r="F979" s="5" t="str">
        <f>"黎族"</f>
        <v>黎族</v>
      </c>
    </row>
    <row r="980" ht="30" customHeight="1" spans="1:6">
      <c r="A980" s="5">
        <v>978</v>
      </c>
      <c r="B980" s="5" t="str">
        <f>"36412022010916055995536"</f>
        <v>36412022010916055995536</v>
      </c>
      <c r="C980" s="5" t="s">
        <v>24</v>
      </c>
      <c r="D980" s="5" t="str">
        <f>"蒋兰香"</f>
        <v>蒋兰香</v>
      </c>
      <c r="E980" s="5" t="str">
        <f t="shared" si="107"/>
        <v>女</v>
      </c>
      <c r="F980" s="5" t="str">
        <f>"苗族"</f>
        <v>苗族</v>
      </c>
    </row>
    <row r="981" ht="30" customHeight="1" spans="1:6">
      <c r="A981" s="5">
        <v>979</v>
      </c>
      <c r="B981" s="5" t="str">
        <f>"36412022010918443795763"</f>
        <v>36412022010918443795763</v>
      </c>
      <c r="C981" s="5" t="s">
        <v>24</v>
      </c>
      <c r="D981" s="5" t="str">
        <f>"曾月"</f>
        <v>曾月</v>
      </c>
      <c r="E981" s="5" t="str">
        <f t="shared" si="107"/>
        <v>女</v>
      </c>
      <c r="F981" s="5" t="str">
        <f t="shared" ref="F981:F993" si="109">"汉族"</f>
        <v>汉族</v>
      </c>
    </row>
    <row r="982" ht="30" customHeight="1" spans="1:6">
      <c r="A982" s="5">
        <v>980</v>
      </c>
      <c r="B982" s="5" t="str">
        <f>"36412022010919570295850"</f>
        <v>36412022010919570295850</v>
      </c>
      <c r="C982" s="5" t="s">
        <v>24</v>
      </c>
      <c r="D982" s="5" t="str">
        <f>"苏水云"</f>
        <v>苏水云</v>
      </c>
      <c r="E982" s="5" t="str">
        <f t="shared" si="107"/>
        <v>女</v>
      </c>
      <c r="F982" s="5" t="str">
        <f t="shared" si="109"/>
        <v>汉族</v>
      </c>
    </row>
    <row r="983" ht="30" customHeight="1" spans="1:6">
      <c r="A983" s="5">
        <v>981</v>
      </c>
      <c r="B983" s="5" t="str">
        <f>"36412022010920091595874"</f>
        <v>36412022010920091595874</v>
      </c>
      <c r="C983" s="5" t="s">
        <v>24</v>
      </c>
      <c r="D983" s="5" t="str">
        <f>"林珏谷"</f>
        <v>林珏谷</v>
      </c>
      <c r="E983" s="5" t="str">
        <f t="shared" si="107"/>
        <v>女</v>
      </c>
      <c r="F983" s="5" t="str">
        <f t="shared" si="109"/>
        <v>汉族</v>
      </c>
    </row>
    <row r="984" ht="30" customHeight="1" spans="1:6">
      <c r="A984" s="5">
        <v>982</v>
      </c>
      <c r="B984" s="5" t="str">
        <f>"36412022010921124895986"</f>
        <v>36412022010921124895986</v>
      </c>
      <c r="C984" s="5" t="s">
        <v>24</v>
      </c>
      <c r="D984" s="5" t="str">
        <f>"邓秋霞"</f>
        <v>邓秋霞</v>
      </c>
      <c r="E984" s="5" t="str">
        <f t="shared" si="107"/>
        <v>女</v>
      </c>
      <c r="F984" s="5" t="str">
        <f t="shared" si="109"/>
        <v>汉族</v>
      </c>
    </row>
    <row r="985" ht="30" customHeight="1" spans="1:6">
      <c r="A985" s="5">
        <v>983</v>
      </c>
      <c r="B985" s="5" t="str">
        <f>"36412022010921314296016"</f>
        <v>36412022010921314296016</v>
      </c>
      <c r="C985" s="5" t="s">
        <v>24</v>
      </c>
      <c r="D985" s="5" t="str">
        <f>"王蕾"</f>
        <v>王蕾</v>
      </c>
      <c r="E985" s="5" t="str">
        <f t="shared" si="107"/>
        <v>女</v>
      </c>
      <c r="F985" s="5" t="str">
        <f t="shared" si="109"/>
        <v>汉族</v>
      </c>
    </row>
    <row r="986" ht="30" customHeight="1" spans="1:6">
      <c r="A986" s="5">
        <v>984</v>
      </c>
      <c r="B986" s="5" t="str">
        <f>"36412022010921552996077"</f>
        <v>36412022010921552996077</v>
      </c>
      <c r="C986" s="5" t="s">
        <v>24</v>
      </c>
      <c r="D986" s="5" t="str">
        <f>"温淑汝"</f>
        <v>温淑汝</v>
      </c>
      <c r="E986" s="5" t="str">
        <f t="shared" si="107"/>
        <v>女</v>
      </c>
      <c r="F986" s="5" t="str">
        <f t="shared" si="109"/>
        <v>汉族</v>
      </c>
    </row>
    <row r="987" ht="30" customHeight="1" spans="1:6">
      <c r="A987" s="5">
        <v>985</v>
      </c>
      <c r="B987" s="5" t="str">
        <f>"36412022010922080696103"</f>
        <v>36412022010922080696103</v>
      </c>
      <c r="C987" s="5" t="s">
        <v>24</v>
      </c>
      <c r="D987" s="5" t="str">
        <f>"郑瑶"</f>
        <v>郑瑶</v>
      </c>
      <c r="E987" s="5" t="str">
        <f t="shared" si="107"/>
        <v>女</v>
      </c>
      <c r="F987" s="5" t="str">
        <f t="shared" si="109"/>
        <v>汉族</v>
      </c>
    </row>
    <row r="988" ht="30" customHeight="1" spans="1:6">
      <c r="A988" s="5">
        <v>986</v>
      </c>
      <c r="B988" s="5" t="str">
        <f>"36412022010923554696250"</f>
        <v>36412022010923554696250</v>
      </c>
      <c r="C988" s="5" t="s">
        <v>24</v>
      </c>
      <c r="D988" s="5" t="str">
        <f>"李青"</f>
        <v>李青</v>
      </c>
      <c r="E988" s="5" t="str">
        <f t="shared" si="107"/>
        <v>女</v>
      </c>
      <c r="F988" s="5" t="str">
        <f t="shared" si="109"/>
        <v>汉族</v>
      </c>
    </row>
    <row r="989" ht="30" customHeight="1" spans="1:6">
      <c r="A989" s="5">
        <v>987</v>
      </c>
      <c r="B989" s="5" t="str">
        <f>"36412022011000091096259"</f>
        <v>36412022011000091096259</v>
      </c>
      <c r="C989" s="5" t="s">
        <v>24</v>
      </c>
      <c r="D989" s="5" t="str">
        <f>"陈梅平"</f>
        <v>陈梅平</v>
      </c>
      <c r="E989" s="5" t="str">
        <f t="shared" si="107"/>
        <v>女</v>
      </c>
      <c r="F989" s="5" t="str">
        <f t="shared" si="109"/>
        <v>汉族</v>
      </c>
    </row>
    <row r="990" ht="30" customHeight="1" spans="1:6">
      <c r="A990" s="5">
        <v>988</v>
      </c>
      <c r="B990" s="5" t="str">
        <f>"36412022011000312996274"</f>
        <v>36412022011000312996274</v>
      </c>
      <c r="C990" s="5" t="s">
        <v>24</v>
      </c>
      <c r="D990" s="5" t="str">
        <f>"黄燕蕊"</f>
        <v>黄燕蕊</v>
      </c>
      <c r="E990" s="5" t="str">
        <f t="shared" si="107"/>
        <v>女</v>
      </c>
      <c r="F990" s="5" t="str">
        <f t="shared" si="109"/>
        <v>汉族</v>
      </c>
    </row>
    <row r="991" ht="30" customHeight="1" spans="1:6">
      <c r="A991" s="5">
        <v>989</v>
      </c>
      <c r="B991" s="5" t="str">
        <f>"36412022011000320496276"</f>
        <v>36412022011000320496276</v>
      </c>
      <c r="C991" s="5" t="s">
        <v>24</v>
      </c>
      <c r="D991" s="5" t="str">
        <f>"李梅"</f>
        <v>李梅</v>
      </c>
      <c r="E991" s="5" t="str">
        <f t="shared" si="107"/>
        <v>女</v>
      </c>
      <c r="F991" s="5" t="str">
        <f t="shared" si="109"/>
        <v>汉族</v>
      </c>
    </row>
    <row r="992" ht="30" customHeight="1" spans="1:6">
      <c r="A992" s="5">
        <v>990</v>
      </c>
      <c r="B992" s="5" t="str">
        <f>"36412022011000451396280"</f>
        <v>36412022011000451396280</v>
      </c>
      <c r="C992" s="5" t="s">
        <v>24</v>
      </c>
      <c r="D992" s="5" t="str">
        <f>"李芬"</f>
        <v>李芬</v>
      </c>
      <c r="E992" s="5" t="str">
        <f t="shared" si="107"/>
        <v>女</v>
      </c>
      <c r="F992" s="5" t="str">
        <f t="shared" si="109"/>
        <v>汉族</v>
      </c>
    </row>
    <row r="993" ht="30" customHeight="1" spans="1:6">
      <c r="A993" s="5">
        <v>991</v>
      </c>
      <c r="B993" s="5" t="str">
        <f>"36412022011006460096311"</f>
        <v>36412022011006460096311</v>
      </c>
      <c r="C993" s="5" t="s">
        <v>24</v>
      </c>
      <c r="D993" s="5" t="str">
        <f>"赵菊瑞"</f>
        <v>赵菊瑞</v>
      </c>
      <c r="E993" s="5" t="str">
        <f t="shared" si="107"/>
        <v>女</v>
      </c>
      <c r="F993" s="5" t="str">
        <f t="shared" si="109"/>
        <v>汉族</v>
      </c>
    </row>
    <row r="994" ht="30" customHeight="1" spans="1:6">
      <c r="A994" s="5">
        <v>992</v>
      </c>
      <c r="B994" s="5" t="str">
        <f>"36412022011007495896323"</f>
        <v>36412022011007495896323</v>
      </c>
      <c r="C994" s="5" t="s">
        <v>24</v>
      </c>
      <c r="D994" s="5" t="str">
        <f>"符舒华"</f>
        <v>符舒华</v>
      </c>
      <c r="E994" s="5" t="str">
        <f t="shared" si="107"/>
        <v>女</v>
      </c>
      <c r="F994" s="5" t="str">
        <f>"黎族"</f>
        <v>黎族</v>
      </c>
    </row>
    <row r="995" ht="30" customHeight="1" spans="1:6">
      <c r="A995" s="5">
        <v>993</v>
      </c>
      <c r="B995" s="5" t="str">
        <f>"36412022011009264496481"</f>
        <v>36412022011009264496481</v>
      </c>
      <c r="C995" s="5" t="s">
        <v>24</v>
      </c>
      <c r="D995" s="5" t="str">
        <f>"吴菊妍"</f>
        <v>吴菊妍</v>
      </c>
      <c r="E995" s="5" t="str">
        <f t="shared" si="107"/>
        <v>女</v>
      </c>
      <c r="F995" s="5" t="str">
        <f t="shared" ref="F995:F1012" si="110">"汉族"</f>
        <v>汉族</v>
      </c>
    </row>
    <row r="996" ht="30" customHeight="1" spans="1:6">
      <c r="A996" s="5">
        <v>994</v>
      </c>
      <c r="B996" s="5" t="str">
        <f>"36412022011010322296695"</f>
        <v>36412022011010322296695</v>
      </c>
      <c r="C996" s="5" t="s">
        <v>24</v>
      </c>
      <c r="D996" s="5" t="str">
        <f>"罗思婷"</f>
        <v>罗思婷</v>
      </c>
      <c r="E996" s="5" t="str">
        <f t="shared" si="107"/>
        <v>女</v>
      </c>
      <c r="F996" s="5" t="str">
        <f t="shared" si="110"/>
        <v>汉族</v>
      </c>
    </row>
    <row r="997" ht="30" customHeight="1" spans="1:6">
      <c r="A997" s="5">
        <v>995</v>
      </c>
      <c r="B997" s="5" t="str">
        <f>"36412021123109014069627"</f>
        <v>36412021123109014069627</v>
      </c>
      <c r="C997" s="5" t="s">
        <v>25</v>
      </c>
      <c r="D997" s="5" t="str">
        <f>"陈文婷"</f>
        <v>陈文婷</v>
      </c>
      <c r="E997" s="5" t="str">
        <f t="shared" si="107"/>
        <v>女</v>
      </c>
      <c r="F997" s="5" t="str">
        <f t="shared" si="110"/>
        <v>汉族</v>
      </c>
    </row>
    <row r="998" ht="30" customHeight="1" spans="1:6">
      <c r="A998" s="5">
        <v>996</v>
      </c>
      <c r="B998" s="5" t="str">
        <f>"36412021123109034869643"</f>
        <v>36412021123109034869643</v>
      </c>
      <c r="C998" s="5" t="s">
        <v>25</v>
      </c>
      <c r="D998" s="5" t="str">
        <f>"曾联妹"</f>
        <v>曾联妹</v>
      </c>
      <c r="E998" s="5" t="str">
        <f t="shared" si="107"/>
        <v>女</v>
      </c>
      <c r="F998" s="5" t="str">
        <f t="shared" si="110"/>
        <v>汉族</v>
      </c>
    </row>
    <row r="999" ht="30" customHeight="1" spans="1:6">
      <c r="A999" s="5">
        <v>997</v>
      </c>
      <c r="B999" s="5" t="str">
        <f>"36412021123109040669645"</f>
        <v>36412021123109040669645</v>
      </c>
      <c r="C999" s="5" t="s">
        <v>25</v>
      </c>
      <c r="D999" s="5" t="str">
        <f>"徐鹏"</f>
        <v>徐鹏</v>
      </c>
      <c r="E999" s="5" t="str">
        <f>"男"</f>
        <v>男</v>
      </c>
      <c r="F999" s="5" t="str">
        <f t="shared" si="110"/>
        <v>汉族</v>
      </c>
    </row>
    <row r="1000" ht="30" customHeight="1" spans="1:6">
      <c r="A1000" s="5">
        <v>998</v>
      </c>
      <c r="B1000" s="5" t="str">
        <f>"36412021123109253669750"</f>
        <v>36412021123109253669750</v>
      </c>
      <c r="C1000" s="5" t="s">
        <v>25</v>
      </c>
      <c r="D1000" s="5" t="str">
        <f>"王彩霞"</f>
        <v>王彩霞</v>
      </c>
      <c r="E1000" s="5" t="str">
        <f>"女"</f>
        <v>女</v>
      </c>
      <c r="F1000" s="5" t="str">
        <f t="shared" si="110"/>
        <v>汉族</v>
      </c>
    </row>
    <row r="1001" ht="30" customHeight="1" spans="1:6">
      <c r="A1001" s="5">
        <v>999</v>
      </c>
      <c r="B1001" s="5" t="str">
        <f>"36412021123109332769778"</f>
        <v>36412021123109332769778</v>
      </c>
      <c r="C1001" s="5" t="s">
        <v>25</v>
      </c>
      <c r="D1001" s="5" t="str">
        <f>"吴贵美"</f>
        <v>吴贵美</v>
      </c>
      <c r="E1001" s="5" t="str">
        <f>"女"</f>
        <v>女</v>
      </c>
      <c r="F1001" s="5" t="str">
        <f t="shared" si="110"/>
        <v>汉族</v>
      </c>
    </row>
    <row r="1002" ht="30" customHeight="1" spans="1:6">
      <c r="A1002" s="5">
        <v>1000</v>
      </c>
      <c r="B1002" s="5" t="str">
        <f>"36412021123109401969806"</f>
        <v>36412021123109401969806</v>
      </c>
      <c r="C1002" s="5" t="s">
        <v>25</v>
      </c>
      <c r="D1002" s="5" t="str">
        <f>"陈益艳"</f>
        <v>陈益艳</v>
      </c>
      <c r="E1002" s="5" t="str">
        <f>"女"</f>
        <v>女</v>
      </c>
      <c r="F1002" s="5" t="str">
        <f t="shared" si="110"/>
        <v>汉族</v>
      </c>
    </row>
    <row r="1003" ht="30" customHeight="1" spans="1:6">
      <c r="A1003" s="5">
        <v>1001</v>
      </c>
      <c r="B1003" s="5" t="str">
        <f>"36412021123109422469818"</f>
        <v>36412021123109422469818</v>
      </c>
      <c r="C1003" s="5" t="s">
        <v>25</v>
      </c>
      <c r="D1003" s="5" t="str">
        <f>"邱明煌"</f>
        <v>邱明煌</v>
      </c>
      <c r="E1003" s="5" t="str">
        <f>"男"</f>
        <v>男</v>
      </c>
      <c r="F1003" s="5" t="str">
        <f t="shared" si="110"/>
        <v>汉族</v>
      </c>
    </row>
    <row r="1004" ht="30" customHeight="1" spans="1:6">
      <c r="A1004" s="5">
        <v>1002</v>
      </c>
      <c r="B1004" s="5" t="str">
        <f>"36412021123109514169856"</f>
        <v>36412021123109514169856</v>
      </c>
      <c r="C1004" s="5" t="s">
        <v>25</v>
      </c>
      <c r="D1004" s="5" t="str">
        <f>"李秋妹"</f>
        <v>李秋妹</v>
      </c>
      <c r="E1004" s="5" t="str">
        <f>"女"</f>
        <v>女</v>
      </c>
      <c r="F1004" s="5" t="str">
        <f t="shared" si="110"/>
        <v>汉族</v>
      </c>
    </row>
    <row r="1005" ht="30" customHeight="1" spans="1:6">
      <c r="A1005" s="5">
        <v>1003</v>
      </c>
      <c r="B1005" s="5" t="str">
        <f>"36412021123109592769896"</f>
        <v>36412021123109592769896</v>
      </c>
      <c r="C1005" s="5" t="s">
        <v>25</v>
      </c>
      <c r="D1005" s="5" t="str">
        <f>"林儒玲"</f>
        <v>林儒玲</v>
      </c>
      <c r="E1005" s="5" t="str">
        <f>"女"</f>
        <v>女</v>
      </c>
      <c r="F1005" s="5" t="str">
        <f t="shared" si="110"/>
        <v>汉族</v>
      </c>
    </row>
    <row r="1006" ht="30" customHeight="1" spans="1:6">
      <c r="A1006" s="5">
        <v>1004</v>
      </c>
      <c r="B1006" s="5" t="str">
        <f>"36412021123110013369908"</f>
        <v>36412021123110013369908</v>
      </c>
      <c r="C1006" s="5" t="s">
        <v>25</v>
      </c>
      <c r="D1006" s="5" t="str">
        <f>"符碚"</f>
        <v>符碚</v>
      </c>
      <c r="E1006" s="5" t="str">
        <f>"女"</f>
        <v>女</v>
      </c>
      <c r="F1006" s="5" t="str">
        <f t="shared" si="110"/>
        <v>汉族</v>
      </c>
    </row>
    <row r="1007" ht="30" customHeight="1" spans="1:6">
      <c r="A1007" s="5">
        <v>1005</v>
      </c>
      <c r="B1007" s="5" t="str">
        <f>"36412021123110020769911"</f>
        <v>36412021123110020769911</v>
      </c>
      <c r="C1007" s="5" t="s">
        <v>25</v>
      </c>
      <c r="D1007" s="5" t="str">
        <f>"罗孙娜"</f>
        <v>罗孙娜</v>
      </c>
      <c r="E1007" s="5" t="str">
        <f>"女"</f>
        <v>女</v>
      </c>
      <c r="F1007" s="5" t="str">
        <f t="shared" si="110"/>
        <v>汉族</v>
      </c>
    </row>
    <row r="1008" ht="30" customHeight="1" spans="1:6">
      <c r="A1008" s="5">
        <v>1006</v>
      </c>
      <c r="B1008" s="5" t="str">
        <f>"36412021123110145069974"</f>
        <v>36412021123110145069974</v>
      </c>
      <c r="C1008" s="5" t="s">
        <v>25</v>
      </c>
      <c r="D1008" s="5" t="str">
        <f>"王志元"</f>
        <v>王志元</v>
      </c>
      <c r="E1008" s="5" t="str">
        <f>"男"</f>
        <v>男</v>
      </c>
      <c r="F1008" s="5" t="str">
        <f t="shared" si="110"/>
        <v>汉族</v>
      </c>
    </row>
    <row r="1009" ht="30" customHeight="1" spans="1:6">
      <c r="A1009" s="5">
        <v>1007</v>
      </c>
      <c r="B1009" s="5" t="str">
        <f>"36412021123110145669975"</f>
        <v>36412021123110145669975</v>
      </c>
      <c r="C1009" s="5" t="s">
        <v>25</v>
      </c>
      <c r="D1009" s="5" t="str">
        <f>"周娇慧"</f>
        <v>周娇慧</v>
      </c>
      <c r="E1009" s="5" t="str">
        <f t="shared" ref="E1009:E1014" si="111">"女"</f>
        <v>女</v>
      </c>
      <c r="F1009" s="5" t="str">
        <f t="shared" si="110"/>
        <v>汉族</v>
      </c>
    </row>
    <row r="1010" ht="30" customHeight="1" spans="1:6">
      <c r="A1010" s="5">
        <v>1008</v>
      </c>
      <c r="B1010" s="5" t="str">
        <f>"36412021123110161169982"</f>
        <v>36412021123110161169982</v>
      </c>
      <c r="C1010" s="5" t="s">
        <v>25</v>
      </c>
      <c r="D1010" s="5" t="str">
        <f>"符风春"</f>
        <v>符风春</v>
      </c>
      <c r="E1010" s="5" t="str">
        <f t="shared" si="111"/>
        <v>女</v>
      </c>
      <c r="F1010" s="5" t="str">
        <f t="shared" si="110"/>
        <v>汉族</v>
      </c>
    </row>
    <row r="1011" ht="30" customHeight="1" spans="1:6">
      <c r="A1011" s="5">
        <v>1009</v>
      </c>
      <c r="B1011" s="5" t="str">
        <f>"36412021123110341870072"</f>
        <v>36412021123110341870072</v>
      </c>
      <c r="C1011" s="5" t="s">
        <v>25</v>
      </c>
      <c r="D1011" s="5" t="str">
        <f>"符婷"</f>
        <v>符婷</v>
      </c>
      <c r="E1011" s="5" t="str">
        <f t="shared" si="111"/>
        <v>女</v>
      </c>
      <c r="F1011" s="5" t="str">
        <f t="shared" si="110"/>
        <v>汉族</v>
      </c>
    </row>
    <row r="1012" ht="30" customHeight="1" spans="1:6">
      <c r="A1012" s="5">
        <v>1010</v>
      </c>
      <c r="B1012" s="5" t="str">
        <f>"36412021123110421170110"</f>
        <v>36412021123110421170110</v>
      </c>
      <c r="C1012" s="5" t="s">
        <v>25</v>
      </c>
      <c r="D1012" s="5" t="str">
        <f>" 张红"</f>
        <v> 张红</v>
      </c>
      <c r="E1012" s="5" t="str">
        <f t="shared" si="111"/>
        <v>女</v>
      </c>
      <c r="F1012" s="5" t="str">
        <f t="shared" si="110"/>
        <v>汉族</v>
      </c>
    </row>
    <row r="1013" ht="30" customHeight="1" spans="1:6">
      <c r="A1013" s="5">
        <v>1011</v>
      </c>
      <c r="B1013" s="5" t="str">
        <f>"36412021123110432870114"</f>
        <v>36412021123110432870114</v>
      </c>
      <c r="C1013" s="5" t="s">
        <v>25</v>
      </c>
      <c r="D1013" s="5" t="str">
        <f>"傅海星"</f>
        <v>傅海星</v>
      </c>
      <c r="E1013" s="5" t="str">
        <f t="shared" si="111"/>
        <v>女</v>
      </c>
      <c r="F1013" s="5" t="str">
        <f>"黎族"</f>
        <v>黎族</v>
      </c>
    </row>
    <row r="1014" ht="30" customHeight="1" spans="1:6">
      <c r="A1014" s="5">
        <v>1012</v>
      </c>
      <c r="B1014" s="5" t="str">
        <f>"36412021123110563470176"</f>
        <v>36412021123110563470176</v>
      </c>
      <c r="C1014" s="5" t="s">
        <v>25</v>
      </c>
      <c r="D1014" s="5" t="str">
        <f>"陈川虹"</f>
        <v>陈川虹</v>
      </c>
      <c r="E1014" s="5" t="str">
        <f t="shared" si="111"/>
        <v>女</v>
      </c>
      <c r="F1014" s="5" t="str">
        <f>"黎族"</f>
        <v>黎族</v>
      </c>
    </row>
    <row r="1015" ht="30" customHeight="1" spans="1:6">
      <c r="A1015" s="5">
        <v>1013</v>
      </c>
      <c r="B1015" s="5" t="str">
        <f>"36412021123111143670256"</f>
        <v>36412021123111143670256</v>
      </c>
      <c r="C1015" s="5" t="s">
        <v>25</v>
      </c>
      <c r="D1015" s="5" t="str">
        <f>"蔡传会"</f>
        <v>蔡传会</v>
      </c>
      <c r="E1015" s="5" t="str">
        <f>"男"</f>
        <v>男</v>
      </c>
      <c r="F1015" s="5" t="str">
        <f>"汉族"</f>
        <v>汉族</v>
      </c>
    </row>
    <row r="1016" ht="30" customHeight="1" spans="1:6">
      <c r="A1016" s="5">
        <v>1014</v>
      </c>
      <c r="B1016" s="5" t="str">
        <f>"36412021123111154370259"</f>
        <v>36412021123111154370259</v>
      </c>
      <c r="C1016" s="5" t="s">
        <v>25</v>
      </c>
      <c r="D1016" s="5" t="str">
        <f>"孙春连"</f>
        <v>孙春连</v>
      </c>
      <c r="E1016" s="5" t="str">
        <f>"女"</f>
        <v>女</v>
      </c>
      <c r="F1016" s="5" t="str">
        <f>"汉族"</f>
        <v>汉族</v>
      </c>
    </row>
    <row r="1017" ht="30" customHeight="1" spans="1:6">
      <c r="A1017" s="5">
        <v>1015</v>
      </c>
      <c r="B1017" s="5" t="str">
        <f>"36412021123111440870358"</f>
        <v>36412021123111440870358</v>
      </c>
      <c r="C1017" s="5" t="s">
        <v>25</v>
      </c>
      <c r="D1017" s="5" t="str">
        <f>"张彩圆"</f>
        <v>张彩圆</v>
      </c>
      <c r="E1017" s="5" t="str">
        <f>"女"</f>
        <v>女</v>
      </c>
      <c r="F1017" s="5" t="str">
        <f>"黎族"</f>
        <v>黎族</v>
      </c>
    </row>
    <row r="1018" ht="30" customHeight="1" spans="1:6">
      <c r="A1018" s="5">
        <v>1016</v>
      </c>
      <c r="B1018" s="5" t="str">
        <f>"36412021123111443470360"</f>
        <v>36412021123111443470360</v>
      </c>
      <c r="C1018" s="5" t="s">
        <v>25</v>
      </c>
      <c r="D1018" s="5" t="str">
        <f>"叶秋慧"</f>
        <v>叶秋慧</v>
      </c>
      <c r="E1018" s="5" t="str">
        <f>"女"</f>
        <v>女</v>
      </c>
      <c r="F1018" s="5" t="str">
        <f t="shared" ref="F1018:F1028" si="112">"汉族"</f>
        <v>汉族</v>
      </c>
    </row>
    <row r="1019" ht="30" customHeight="1" spans="1:6">
      <c r="A1019" s="5">
        <v>1017</v>
      </c>
      <c r="B1019" s="5" t="str">
        <f>"36412021123112363370474"</f>
        <v>36412021123112363370474</v>
      </c>
      <c r="C1019" s="5" t="s">
        <v>25</v>
      </c>
      <c r="D1019" s="5" t="str">
        <f>"杨泽燕"</f>
        <v>杨泽燕</v>
      </c>
      <c r="E1019" s="5" t="str">
        <f>"女"</f>
        <v>女</v>
      </c>
      <c r="F1019" s="5" t="str">
        <f t="shared" si="112"/>
        <v>汉族</v>
      </c>
    </row>
    <row r="1020" ht="30" customHeight="1" spans="1:6">
      <c r="A1020" s="5">
        <v>1018</v>
      </c>
      <c r="B1020" s="5" t="str">
        <f>"36412021123112404070487"</f>
        <v>36412021123112404070487</v>
      </c>
      <c r="C1020" s="5" t="s">
        <v>25</v>
      </c>
      <c r="D1020" s="5" t="str">
        <f>"张祖波"</f>
        <v>张祖波</v>
      </c>
      <c r="E1020" s="5" t="str">
        <f>"男"</f>
        <v>男</v>
      </c>
      <c r="F1020" s="5" t="str">
        <f t="shared" si="112"/>
        <v>汉族</v>
      </c>
    </row>
    <row r="1021" ht="30" customHeight="1" spans="1:6">
      <c r="A1021" s="5">
        <v>1019</v>
      </c>
      <c r="B1021" s="5" t="str">
        <f>"36412021123113102170562"</f>
        <v>36412021123113102170562</v>
      </c>
      <c r="C1021" s="5" t="s">
        <v>25</v>
      </c>
      <c r="D1021" s="5" t="str">
        <f>"李志蕊"</f>
        <v>李志蕊</v>
      </c>
      <c r="E1021" s="5" t="str">
        <f>"女"</f>
        <v>女</v>
      </c>
      <c r="F1021" s="5" t="str">
        <f t="shared" si="112"/>
        <v>汉族</v>
      </c>
    </row>
    <row r="1022" ht="30" customHeight="1" spans="1:6">
      <c r="A1022" s="5">
        <v>1020</v>
      </c>
      <c r="B1022" s="5" t="str">
        <f>"36412021123114391270757"</f>
        <v>36412021123114391270757</v>
      </c>
      <c r="C1022" s="5" t="s">
        <v>25</v>
      </c>
      <c r="D1022" s="5" t="str">
        <f>"陈玲"</f>
        <v>陈玲</v>
      </c>
      <c r="E1022" s="5" t="str">
        <f>"女"</f>
        <v>女</v>
      </c>
      <c r="F1022" s="5" t="str">
        <f t="shared" si="112"/>
        <v>汉族</v>
      </c>
    </row>
    <row r="1023" ht="30" customHeight="1" spans="1:6">
      <c r="A1023" s="5">
        <v>1021</v>
      </c>
      <c r="B1023" s="5" t="str">
        <f>"36412021123114500570791"</f>
        <v>36412021123114500570791</v>
      </c>
      <c r="C1023" s="5" t="s">
        <v>25</v>
      </c>
      <c r="D1023" s="5" t="str">
        <f>"吴清芸"</f>
        <v>吴清芸</v>
      </c>
      <c r="E1023" s="5" t="str">
        <f>"女"</f>
        <v>女</v>
      </c>
      <c r="F1023" s="5" t="str">
        <f t="shared" si="112"/>
        <v>汉族</v>
      </c>
    </row>
    <row r="1024" ht="30" customHeight="1" spans="1:6">
      <c r="A1024" s="5">
        <v>1022</v>
      </c>
      <c r="B1024" s="5" t="str">
        <f>"36412021123115163170858"</f>
        <v>36412021123115163170858</v>
      </c>
      <c r="C1024" s="5" t="s">
        <v>25</v>
      </c>
      <c r="D1024" s="5" t="str">
        <f>"王秀丽"</f>
        <v>王秀丽</v>
      </c>
      <c r="E1024" s="5" t="str">
        <f>"女"</f>
        <v>女</v>
      </c>
      <c r="F1024" s="5" t="str">
        <f t="shared" si="112"/>
        <v>汉族</v>
      </c>
    </row>
    <row r="1025" ht="30" customHeight="1" spans="1:6">
      <c r="A1025" s="5">
        <v>1023</v>
      </c>
      <c r="B1025" s="5" t="str">
        <f>"36412021123115204070871"</f>
        <v>36412021123115204070871</v>
      </c>
      <c r="C1025" s="5" t="s">
        <v>25</v>
      </c>
      <c r="D1025" s="5" t="str">
        <f>"符赓"</f>
        <v>符赓</v>
      </c>
      <c r="E1025" s="5" t="str">
        <f>"男"</f>
        <v>男</v>
      </c>
      <c r="F1025" s="5" t="str">
        <f t="shared" si="112"/>
        <v>汉族</v>
      </c>
    </row>
    <row r="1026" ht="30" customHeight="1" spans="1:6">
      <c r="A1026" s="5">
        <v>1024</v>
      </c>
      <c r="B1026" s="5" t="str">
        <f>"36412021123115260470888"</f>
        <v>36412021123115260470888</v>
      </c>
      <c r="C1026" s="5" t="s">
        <v>25</v>
      </c>
      <c r="D1026" s="5" t="str">
        <f>"符苑菲"</f>
        <v>符苑菲</v>
      </c>
      <c r="E1026" s="5" t="str">
        <f>"女"</f>
        <v>女</v>
      </c>
      <c r="F1026" s="5" t="str">
        <f t="shared" si="112"/>
        <v>汉族</v>
      </c>
    </row>
    <row r="1027" ht="30" customHeight="1" spans="1:6">
      <c r="A1027" s="5">
        <v>1025</v>
      </c>
      <c r="B1027" s="5" t="str">
        <f>"36412021123116013570966"</f>
        <v>36412021123116013570966</v>
      </c>
      <c r="C1027" s="5" t="s">
        <v>25</v>
      </c>
      <c r="D1027" s="5" t="str">
        <f>"谢发城"</f>
        <v>谢发城</v>
      </c>
      <c r="E1027" s="5" t="str">
        <f>"男"</f>
        <v>男</v>
      </c>
      <c r="F1027" s="5" t="str">
        <f t="shared" si="112"/>
        <v>汉族</v>
      </c>
    </row>
    <row r="1028" ht="30" customHeight="1" spans="1:6">
      <c r="A1028" s="5">
        <v>1026</v>
      </c>
      <c r="B1028" s="5" t="str">
        <f>"36412021123116095470977"</f>
        <v>36412021123116095470977</v>
      </c>
      <c r="C1028" s="5" t="s">
        <v>25</v>
      </c>
      <c r="D1028" s="5" t="str">
        <f>"孟运诗"</f>
        <v>孟运诗</v>
      </c>
      <c r="E1028" s="5" t="str">
        <f>"男"</f>
        <v>男</v>
      </c>
      <c r="F1028" s="5" t="str">
        <f t="shared" si="112"/>
        <v>汉族</v>
      </c>
    </row>
    <row r="1029" ht="30" customHeight="1" spans="1:6">
      <c r="A1029" s="5">
        <v>1027</v>
      </c>
      <c r="B1029" s="5" t="str">
        <f>"36412021123116204571007"</f>
        <v>36412021123116204571007</v>
      </c>
      <c r="C1029" s="5" t="s">
        <v>25</v>
      </c>
      <c r="D1029" s="5" t="str">
        <f>"符燕玲"</f>
        <v>符燕玲</v>
      </c>
      <c r="E1029" s="5" t="str">
        <f>"女"</f>
        <v>女</v>
      </c>
      <c r="F1029" s="5" t="str">
        <f>"黎族"</f>
        <v>黎族</v>
      </c>
    </row>
    <row r="1030" ht="30" customHeight="1" spans="1:6">
      <c r="A1030" s="5">
        <v>1028</v>
      </c>
      <c r="B1030" s="5" t="str">
        <f>"36412021123116483971075"</f>
        <v>36412021123116483971075</v>
      </c>
      <c r="C1030" s="5" t="s">
        <v>25</v>
      </c>
      <c r="D1030" s="5" t="str">
        <f>"黄良育"</f>
        <v>黄良育</v>
      </c>
      <c r="E1030" s="5" t="str">
        <f>"男"</f>
        <v>男</v>
      </c>
      <c r="F1030" s="5" t="str">
        <f t="shared" ref="F1030:F1059" si="113">"汉族"</f>
        <v>汉族</v>
      </c>
    </row>
    <row r="1031" ht="30" customHeight="1" spans="1:6">
      <c r="A1031" s="5">
        <v>1029</v>
      </c>
      <c r="B1031" s="5" t="str">
        <f>"36412021123117105771116"</f>
        <v>36412021123117105771116</v>
      </c>
      <c r="C1031" s="5" t="s">
        <v>25</v>
      </c>
      <c r="D1031" s="5" t="str">
        <f>"王庆飞"</f>
        <v>王庆飞</v>
      </c>
      <c r="E1031" s="5" t="str">
        <f t="shared" ref="E1031:E1036" si="114">"女"</f>
        <v>女</v>
      </c>
      <c r="F1031" s="5" t="str">
        <f t="shared" si="113"/>
        <v>汉族</v>
      </c>
    </row>
    <row r="1032" ht="30" customHeight="1" spans="1:6">
      <c r="A1032" s="5">
        <v>1030</v>
      </c>
      <c r="B1032" s="5" t="str">
        <f>"36412021123118551671208"</f>
        <v>36412021123118551671208</v>
      </c>
      <c r="C1032" s="5" t="s">
        <v>25</v>
      </c>
      <c r="D1032" s="5" t="str">
        <f>"王奇敏"</f>
        <v>王奇敏</v>
      </c>
      <c r="E1032" s="5" t="str">
        <f t="shared" si="114"/>
        <v>女</v>
      </c>
      <c r="F1032" s="5" t="str">
        <f t="shared" si="113"/>
        <v>汉族</v>
      </c>
    </row>
    <row r="1033" ht="30" customHeight="1" spans="1:6">
      <c r="A1033" s="5">
        <v>1031</v>
      </c>
      <c r="B1033" s="5" t="str">
        <f>"36412021123120042371263"</f>
        <v>36412021123120042371263</v>
      </c>
      <c r="C1033" s="5" t="s">
        <v>25</v>
      </c>
      <c r="D1033" s="5" t="str">
        <f>"赵爱菊"</f>
        <v>赵爱菊</v>
      </c>
      <c r="E1033" s="5" t="str">
        <f t="shared" si="114"/>
        <v>女</v>
      </c>
      <c r="F1033" s="5" t="str">
        <f t="shared" si="113"/>
        <v>汉族</v>
      </c>
    </row>
    <row r="1034" ht="30" customHeight="1" spans="1:6">
      <c r="A1034" s="5">
        <v>1032</v>
      </c>
      <c r="B1034" s="5" t="str">
        <f>"36412021123120183171273"</f>
        <v>36412021123120183171273</v>
      </c>
      <c r="C1034" s="5" t="s">
        <v>25</v>
      </c>
      <c r="D1034" s="5" t="str">
        <f>"孙余"</f>
        <v>孙余</v>
      </c>
      <c r="E1034" s="5" t="str">
        <f t="shared" si="114"/>
        <v>女</v>
      </c>
      <c r="F1034" s="5" t="str">
        <f t="shared" si="113"/>
        <v>汉族</v>
      </c>
    </row>
    <row r="1035" ht="30" customHeight="1" spans="1:6">
      <c r="A1035" s="5">
        <v>1033</v>
      </c>
      <c r="B1035" s="5" t="str">
        <f>"36412021123120502771295"</f>
        <v>36412021123120502771295</v>
      </c>
      <c r="C1035" s="5" t="s">
        <v>25</v>
      </c>
      <c r="D1035" s="5" t="str">
        <f>"吴金平"</f>
        <v>吴金平</v>
      </c>
      <c r="E1035" s="5" t="str">
        <f t="shared" si="114"/>
        <v>女</v>
      </c>
      <c r="F1035" s="5" t="str">
        <f t="shared" si="113"/>
        <v>汉族</v>
      </c>
    </row>
    <row r="1036" ht="30" customHeight="1" spans="1:6">
      <c r="A1036" s="5">
        <v>1034</v>
      </c>
      <c r="B1036" s="5" t="str">
        <f>"36412021123121131271316"</f>
        <v>36412021123121131271316</v>
      </c>
      <c r="C1036" s="5" t="s">
        <v>25</v>
      </c>
      <c r="D1036" s="5" t="str">
        <f>"王秋波"</f>
        <v>王秋波</v>
      </c>
      <c r="E1036" s="5" t="str">
        <f t="shared" si="114"/>
        <v>女</v>
      </c>
      <c r="F1036" s="5" t="str">
        <f t="shared" si="113"/>
        <v>汉族</v>
      </c>
    </row>
    <row r="1037" ht="30" customHeight="1" spans="1:6">
      <c r="A1037" s="5">
        <v>1035</v>
      </c>
      <c r="B1037" s="5" t="str">
        <f>"36412021123121183371319"</f>
        <v>36412021123121183371319</v>
      </c>
      <c r="C1037" s="5" t="s">
        <v>25</v>
      </c>
      <c r="D1037" s="5" t="str">
        <f>"何长浪"</f>
        <v>何长浪</v>
      </c>
      <c r="E1037" s="5" t="str">
        <f>"男"</f>
        <v>男</v>
      </c>
      <c r="F1037" s="5" t="str">
        <f t="shared" si="113"/>
        <v>汉族</v>
      </c>
    </row>
    <row r="1038" ht="30" customHeight="1" spans="1:6">
      <c r="A1038" s="5">
        <v>1036</v>
      </c>
      <c r="B1038" s="5" t="str">
        <f>"36412021123121264671325"</f>
        <v>36412021123121264671325</v>
      </c>
      <c r="C1038" s="5" t="s">
        <v>25</v>
      </c>
      <c r="D1038" s="5" t="str">
        <f>"羊玉秀"</f>
        <v>羊玉秀</v>
      </c>
      <c r="E1038" s="5" t="str">
        <f>"女"</f>
        <v>女</v>
      </c>
      <c r="F1038" s="5" t="str">
        <f t="shared" si="113"/>
        <v>汉族</v>
      </c>
    </row>
    <row r="1039" ht="30" customHeight="1" spans="1:6">
      <c r="A1039" s="5">
        <v>1037</v>
      </c>
      <c r="B1039" s="5" t="str">
        <f>"36412021123121405671334"</f>
        <v>36412021123121405671334</v>
      </c>
      <c r="C1039" s="5" t="s">
        <v>25</v>
      </c>
      <c r="D1039" s="5" t="str">
        <f>"韦晓春"</f>
        <v>韦晓春</v>
      </c>
      <c r="E1039" s="5" t="str">
        <f>"女"</f>
        <v>女</v>
      </c>
      <c r="F1039" s="5" t="str">
        <f t="shared" si="113"/>
        <v>汉族</v>
      </c>
    </row>
    <row r="1040" ht="30" customHeight="1" spans="1:6">
      <c r="A1040" s="5">
        <v>1038</v>
      </c>
      <c r="B1040" s="5" t="str">
        <f>"36412021123121413171335"</f>
        <v>36412021123121413171335</v>
      </c>
      <c r="C1040" s="5" t="s">
        <v>25</v>
      </c>
      <c r="D1040" s="5" t="str">
        <f>"吴奕莹"</f>
        <v>吴奕莹</v>
      </c>
      <c r="E1040" s="5" t="str">
        <f>"女"</f>
        <v>女</v>
      </c>
      <c r="F1040" s="5" t="str">
        <f t="shared" si="113"/>
        <v>汉族</v>
      </c>
    </row>
    <row r="1041" ht="30" customHeight="1" spans="1:6">
      <c r="A1041" s="5">
        <v>1039</v>
      </c>
      <c r="B1041" s="5" t="str">
        <f>"36412021123121474471338"</f>
        <v>36412021123121474471338</v>
      </c>
      <c r="C1041" s="5" t="s">
        <v>25</v>
      </c>
      <c r="D1041" s="5" t="str">
        <f>"文昌凡"</f>
        <v>文昌凡</v>
      </c>
      <c r="E1041" s="5" t="str">
        <f>"男"</f>
        <v>男</v>
      </c>
      <c r="F1041" s="5" t="str">
        <f t="shared" si="113"/>
        <v>汉族</v>
      </c>
    </row>
    <row r="1042" ht="30" customHeight="1" spans="1:6">
      <c r="A1042" s="5">
        <v>1040</v>
      </c>
      <c r="B1042" s="5" t="str">
        <f>"36412021123122194671360"</f>
        <v>36412021123122194671360</v>
      </c>
      <c r="C1042" s="5" t="s">
        <v>25</v>
      </c>
      <c r="D1042" s="5" t="str">
        <f>"符凤香"</f>
        <v>符凤香</v>
      </c>
      <c r="E1042" s="5" t="str">
        <f>"女"</f>
        <v>女</v>
      </c>
      <c r="F1042" s="5" t="str">
        <f t="shared" si="113"/>
        <v>汉族</v>
      </c>
    </row>
    <row r="1043" ht="30" customHeight="1" spans="1:6">
      <c r="A1043" s="5">
        <v>1041</v>
      </c>
      <c r="B1043" s="5" t="str">
        <f>"36412021123123400571391"</f>
        <v>36412021123123400571391</v>
      </c>
      <c r="C1043" s="5" t="s">
        <v>25</v>
      </c>
      <c r="D1043" s="5" t="str">
        <f>"李州燕"</f>
        <v>李州燕</v>
      </c>
      <c r="E1043" s="5" t="str">
        <f>"女"</f>
        <v>女</v>
      </c>
      <c r="F1043" s="5" t="str">
        <f t="shared" si="113"/>
        <v>汉族</v>
      </c>
    </row>
    <row r="1044" ht="30" customHeight="1" spans="1:6">
      <c r="A1044" s="5">
        <v>1042</v>
      </c>
      <c r="B1044" s="5" t="str">
        <f>"36412022010100004971398"</f>
        <v>36412022010100004971398</v>
      </c>
      <c r="C1044" s="5" t="s">
        <v>25</v>
      </c>
      <c r="D1044" s="5" t="str">
        <f>"潘铭华"</f>
        <v>潘铭华</v>
      </c>
      <c r="E1044" s="5" t="str">
        <f>"男"</f>
        <v>男</v>
      </c>
      <c r="F1044" s="5" t="str">
        <f t="shared" si="113"/>
        <v>汉族</v>
      </c>
    </row>
    <row r="1045" ht="30" customHeight="1" spans="1:6">
      <c r="A1045" s="5">
        <v>1043</v>
      </c>
      <c r="B1045" s="5" t="str">
        <f>"36412022010100324871401"</f>
        <v>36412022010100324871401</v>
      </c>
      <c r="C1045" s="5" t="s">
        <v>25</v>
      </c>
      <c r="D1045" s="5" t="str">
        <f>"李光祥"</f>
        <v>李光祥</v>
      </c>
      <c r="E1045" s="5" t="str">
        <f>"男"</f>
        <v>男</v>
      </c>
      <c r="F1045" s="5" t="str">
        <f t="shared" si="113"/>
        <v>汉族</v>
      </c>
    </row>
    <row r="1046" ht="30" customHeight="1" spans="1:6">
      <c r="A1046" s="5">
        <v>1044</v>
      </c>
      <c r="B1046" s="5" t="str">
        <f>"36412022010100493171404"</f>
        <v>36412022010100493171404</v>
      </c>
      <c r="C1046" s="5" t="s">
        <v>25</v>
      </c>
      <c r="D1046" s="5" t="str">
        <f>"刘灿"</f>
        <v>刘灿</v>
      </c>
      <c r="E1046" s="5" t="str">
        <f>"男"</f>
        <v>男</v>
      </c>
      <c r="F1046" s="5" t="str">
        <f t="shared" si="113"/>
        <v>汉族</v>
      </c>
    </row>
    <row r="1047" ht="30" customHeight="1" spans="1:6">
      <c r="A1047" s="5">
        <v>1045</v>
      </c>
      <c r="B1047" s="5" t="str">
        <f>"36412022010107282271416"</f>
        <v>36412022010107282271416</v>
      </c>
      <c r="C1047" s="5" t="s">
        <v>25</v>
      </c>
      <c r="D1047" s="5" t="str">
        <f>"黄杏丁"</f>
        <v>黄杏丁</v>
      </c>
      <c r="E1047" s="5" t="str">
        <f t="shared" ref="E1047:E1056" si="115">"女"</f>
        <v>女</v>
      </c>
      <c r="F1047" s="5" t="str">
        <f t="shared" si="113"/>
        <v>汉族</v>
      </c>
    </row>
    <row r="1048" ht="30" customHeight="1" spans="1:6">
      <c r="A1048" s="5">
        <v>1046</v>
      </c>
      <c r="B1048" s="5" t="str">
        <f>"36412022010108583371461"</f>
        <v>36412022010108583371461</v>
      </c>
      <c r="C1048" s="5" t="s">
        <v>25</v>
      </c>
      <c r="D1048" s="5" t="str">
        <f>"王青梅"</f>
        <v>王青梅</v>
      </c>
      <c r="E1048" s="5" t="str">
        <f t="shared" si="115"/>
        <v>女</v>
      </c>
      <c r="F1048" s="5" t="str">
        <f t="shared" si="113"/>
        <v>汉族</v>
      </c>
    </row>
    <row r="1049" ht="30" customHeight="1" spans="1:6">
      <c r="A1049" s="5">
        <v>1047</v>
      </c>
      <c r="B1049" s="5" t="str">
        <f>"36412022010110084871538"</f>
        <v>36412022010110084871538</v>
      </c>
      <c r="C1049" s="5" t="s">
        <v>25</v>
      </c>
      <c r="D1049" s="5" t="str">
        <f>"符英珠"</f>
        <v>符英珠</v>
      </c>
      <c r="E1049" s="5" t="str">
        <f t="shared" si="115"/>
        <v>女</v>
      </c>
      <c r="F1049" s="5" t="str">
        <f t="shared" si="113"/>
        <v>汉族</v>
      </c>
    </row>
    <row r="1050" ht="30" customHeight="1" spans="1:6">
      <c r="A1050" s="5">
        <v>1048</v>
      </c>
      <c r="B1050" s="5" t="str">
        <f>"36412022010110510871595"</f>
        <v>36412022010110510871595</v>
      </c>
      <c r="C1050" s="5" t="s">
        <v>25</v>
      </c>
      <c r="D1050" s="5" t="str">
        <f>"黄金梅"</f>
        <v>黄金梅</v>
      </c>
      <c r="E1050" s="5" t="str">
        <f t="shared" si="115"/>
        <v>女</v>
      </c>
      <c r="F1050" s="5" t="str">
        <f t="shared" si="113"/>
        <v>汉族</v>
      </c>
    </row>
    <row r="1051" ht="30" customHeight="1" spans="1:6">
      <c r="A1051" s="5">
        <v>1049</v>
      </c>
      <c r="B1051" s="5" t="str">
        <f>"36412022010111193471633"</f>
        <v>36412022010111193471633</v>
      </c>
      <c r="C1051" s="5" t="s">
        <v>25</v>
      </c>
      <c r="D1051" s="5" t="str">
        <f>"薛乾妃"</f>
        <v>薛乾妃</v>
      </c>
      <c r="E1051" s="5" t="str">
        <f t="shared" si="115"/>
        <v>女</v>
      </c>
      <c r="F1051" s="5" t="str">
        <f t="shared" si="113"/>
        <v>汉族</v>
      </c>
    </row>
    <row r="1052" ht="30" customHeight="1" spans="1:6">
      <c r="A1052" s="5">
        <v>1050</v>
      </c>
      <c r="B1052" s="5" t="str">
        <f>"36412022010111220371636"</f>
        <v>36412022010111220371636</v>
      </c>
      <c r="C1052" s="5" t="s">
        <v>25</v>
      </c>
      <c r="D1052" s="5" t="str">
        <f>"陈蓬颖"</f>
        <v>陈蓬颖</v>
      </c>
      <c r="E1052" s="5" t="str">
        <f t="shared" si="115"/>
        <v>女</v>
      </c>
      <c r="F1052" s="5" t="str">
        <f t="shared" si="113"/>
        <v>汉族</v>
      </c>
    </row>
    <row r="1053" ht="30" customHeight="1" spans="1:6">
      <c r="A1053" s="5">
        <v>1051</v>
      </c>
      <c r="B1053" s="5" t="str">
        <f>"36412022010112190071702"</f>
        <v>36412022010112190071702</v>
      </c>
      <c r="C1053" s="5" t="s">
        <v>25</v>
      </c>
      <c r="D1053" s="5" t="str">
        <f>"苏醒"</f>
        <v>苏醒</v>
      </c>
      <c r="E1053" s="5" t="str">
        <f t="shared" si="115"/>
        <v>女</v>
      </c>
      <c r="F1053" s="5" t="str">
        <f t="shared" si="113"/>
        <v>汉族</v>
      </c>
    </row>
    <row r="1054" ht="30" customHeight="1" spans="1:6">
      <c r="A1054" s="5">
        <v>1052</v>
      </c>
      <c r="B1054" s="5" t="str">
        <f>"36412022010113180071774"</f>
        <v>36412022010113180071774</v>
      </c>
      <c r="C1054" s="5" t="s">
        <v>25</v>
      </c>
      <c r="D1054" s="5" t="str">
        <f>"林美蓉"</f>
        <v>林美蓉</v>
      </c>
      <c r="E1054" s="5" t="str">
        <f t="shared" si="115"/>
        <v>女</v>
      </c>
      <c r="F1054" s="5" t="str">
        <f t="shared" si="113"/>
        <v>汉族</v>
      </c>
    </row>
    <row r="1055" ht="30" customHeight="1" spans="1:6">
      <c r="A1055" s="5">
        <v>1053</v>
      </c>
      <c r="B1055" s="5" t="str">
        <f>"36412022010113202171780"</f>
        <v>36412022010113202171780</v>
      </c>
      <c r="C1055" s="5" t="s">
        <v>25</v>
      </c>
      <c r="D1055" s="5" t="str">
        <f>"韦海明"</f>
        <v>韦海明</v>
      </c>
      <c r="E1055" s="5" t="str">
        <f t="shared" si="115"/>
        <v>女</v>
      </c>
      <c r="F1055" s="5" t="str">
        <f t="shared" si="113"/>
        <v>汉族</v>
      </c>
    </row>
    <row r="1056" ht="30" customHeight="1" spans="1:6">
      <c r="A1056" s="5">
        <v>1054</v>
      </c>
      <c r="B1056" s="5" t="str">
        <f>"36412022010113221971784"</f>
        <v>36412022010113221971784</v>
      </c>
      <c r="C1056" s="5" t="s">
        <v>25</v>
      </c>
      <c r="D1056" s="5" t="str">
        <f>"符不霞"</f>
        <v>符不霞</v>
      </c>
      <c r="E1056" s="5" t="str">
        <f t="shared" si="115"/>
        <v>女</v>
      </c>
      <c r="F1056" s="5" t="str">
        <f t="shared" si="113"/>
        <v>汉族</v>
      </c>
    </row>
    <row r="1057" ht="30" customHeight="1" spans="1:6">
      <c r="A1057" s="5">
        <v>1055</v>
      </c>
      <c r="B1057" s="5" t="str">
        <f>"36412022010113341371797"</f>
        <v>36412022010113341371797</v>
      </c>
      <c r="C1057" s="5" t="s">
        <v>25</v>
      </c>
      <c r="D1057" s="5" t="str">
        <f>"陈可大"</f>
        <v>陈可大</v>
      </c>
      <c r="E1057" s="5" t="str">
        <f>"男"</f>
        <v>男</v>
      </c>
      <c r="F1057" s="5" t="str">
        <f t="shared" si="113"/>
        <v>汉族</v>
      </c>
    </row>
    <row r="1058" ht="30" customHeight="1" spans="1:6">
      <c r="A1058" s="5">
        <v>1056</v>
      </c>
      <c r="B1058" s="5" t="str">
        <f>"36412022010113503271819"</f>
        <v>36412022010113503271819</v>
      </c>
      <c r="C1058" s="5" t="s">
        <v>25</v>
      </c>
      <c r="D1058" s="5" t="str">
        <f>"王锦洋"</f>
        <v>王锦洋</v>
      </c>
      <c r="E1058" s="5" t="str">
        <f>"男"</f>
        <v>男</v>
      </c>
      <c r="F1058" s="5" t="str">
        <f t="shared" si="113"/>
        <v>汉族</v>
      </c>
    </row>
    <row r="1059" ht="30" customHeight="1" spans="1:6">
      <c r="A1059" s="5">
        <v>1057</v>
      </c>
      <c r="B1059" s="5" t="str">
        <f>"36412022010115235071913"</f>
        <v>36412022010115235071913</v>
      </c>
      <c r="C1059" s="5" t="s">
        <v>25</v>
      </c>
      <c r="D1059" s="5" t="str">
        <f>"罗才连"</f>
        <v>罗才连</v>
      </c>
      <c r="E1059" s="5" t="str">
        <f>"女"</f>
        <v>女</v>
      </c>
      <c r="F1059" s="5" t="str">
        <f t="shared" si="113"/>
        <v>汉族</v>
      </c>
    </row>
    <row r="1060" ht="30" customHeight="1" spans="1:6">
      <c r="A1060" s="5">
        <v>1058</v>
      </c>
      <c r="B1060" s="5" t="str">
        <f>"36412022010115272371916"</f>
        <v>36412022010115272371916</v>
      </c>
      <c r="C1060" s="5" t="s">
        <v>25</v>
      </c>
      <c r="D1060" s="5" t="str">
        <f>"陈应美"</f>
        <v>陈应美</v>
      </c>
      <c r="E1060" s="5" t="str">
        <f>"女"</f>
        <v>女</v>
      </c>
      <c r="F1060" s="5" t="str">
        <f>"黎族"</f>
        <v>黎族</v>
      </c>
    </row>
    <row r="1061" ht="30" customHeight="1" spans="1:6">
      <c r="A1061" s="5">
        <v>1059</v>
      </c>
      <c r="B1061" s="5" t="str">
        <f>"36412022010116031771948"</f>
        <v>36412022010116031771948</v>
      </c>
      <c r="C1061" s="5" t="s">
        <v>25</v>
      </c>
      <c r="D1061" s="5" t="str">
        <f>"周林邦"</f>
        <v>周林邦</v>
      </c>
      <c r="E1061" s="5" t="str">
        <f>"男"</f>
        <v>男</v>
      </c>
      <c r="F1061" s="5" t="str">
        <f t="shared" ref="F1061:F1066" si="116">"汉族"</f>
        <v>汉族</v>
      </c>
    </row>
    <row r="1062" ht="30" customHeight="1" spans="1:6">
      <c r="A1062" s="5">
        <v>1060</v>
      </c>
      <c r="B1062" s="5" t="str">
        <f>"36412022010116442071988"</f>
        <v>36412022010116442071988</v>
      </c>
      <c r="C1062" s="5" t="s">
        <v>25</v>
      </c>
      <c r="D1062" s="5" t="str">
        <f>"陈启春"</f>
        <v>陈启春</v>
      </c>
      <c r="E1062" s="5" t="str">
        <f>"女"</f>
        <v>女</v>
      </c>
      <c r="F1062" s="5" t="str">
        <f t="shared" si="116"/>
        <v>汉族</v>
      </c>
    </row>
    <row r="1063" ht="30" customHeight="1" spans="1:6">
      <c r="A1063" s="5">
        <v>1061</v>
      </c>
      <c r="B1063" s="5" t="str">
        <f>"36412022010117145172018"</f>
        <v>36412022010117145172018</v>
      </c>
      <c r="C1063" s="5" t="s">
        <v>25</v>
      </c>
      <c r="D1063" s="5" t="str">
        <f>"余守暖"</f>
        <v>余守暖</v>
      </c>
      <c r="E1063" s="5" t="str">
        <f>"女"</f>
        <v>女</v>
      </c>
      <c r="F1063" s="5" t="str">
        <f t="shared" si="116"/>
        <v>汉族</v>
      </c>
    </row>
    <row r="1064" ht="30" customHeight="1" spans="1:6">
      <c r="A1064" s="5">
        <v>1062</v>
      </c>
      <c r="B1064" s="5" t="str">
        <f>"36412022010117410372038"</f>
        <v>36412022010117410372038</v>
      </c>
      <c r="C1064" s="5" t="s">
        <v>25</v>
      </c>
      <c r="D1064" s="5" t="str">
        <f>"梁秀美"</f>
        <v>梁秀美</v>
      </c>
      <c r="E1064" s="5" t="str">
        <f>"女"</f>
        <v>女</v>
      </c>
      <c r="F1064" s="5" t="str">
        <f t="shared" si="116"/>
        <v>汉族</v>
      </c>
    </row>
    <row r="1065" ht="30" customHeight="1" spans="1:6">
      <c r="A1065" s="5">
        <v>1063</v>
      </c>
      <c r="B1065" s="5" t="str">
        <f>"36412022010118572272099"</f>
        <v>36412022010118572272099</v>
      </c>
      <c r="C1065" s="5" t="s">
        <v>25</v>
      </c>
      <c r="D1065" s="5" t="str">
        <f>"王月燕"</f>
        <v>王月燕</v>
      </c>
      <c r="E1065" s="5" t="str">
        <f>"女"</f>
        <v>女</v>
      </c>
      <c r="F1065" s="5" t="str">
        <f t="shared" si="116"/>
        <v>汉族</v>
      </c>
    </row>
    <row r="1066" ht="30" customHeight="1" spans="1:6">
      <c r="A1066" s="5">
        <v>1064</v>
      </c>
      <c r="B1066" s="5" t="str">
        <f>"36412022010119412672135"</f>
        <v>36412022010119412672135</v>
      </c>
      <c r="C1066" s="5" t="s">
        <v>25</v>
      </c>
      <c r="D1066" s="5" t="str">
        <f>"王词林"</f>
        <v>王词林</v>
      </c>
      <c r="E1066" s="5" t="str">
        <f>"男"</f>
        <v>男</v>
      </c>
      <c r="F1066" s="5" t="str">
        <f t="shared" si="116"/>
        <v>汉族</v>
      </c>
    </row>
    <row r="1067" ht="30" customHeight="1" spans="1:6">
      <c r="A1067" s="5">
        <v>1065</v>
      </c>
      <c r="B1067" s="5" t="str">
        <f>"36412022010119592572157"</f>
        <v>36412022010119592572157</v>
      </c>
      <c r="C1067" s="5" t="s">
        <v>25</v>
      </c>
      <c r="D1067" s="5" t="str">
        <f>"杨巾巾"</f>
        <v>杨巾巾</v>
      </c>
      <c r="E1067" s="5" t="str">
        <f>"女"</f>
        <v>女</v>
      </c>
      <c r="F1067" s="5" t="str">
        <f>"黎族"</f>
        <v>黎族</v>
      </c>
    </row>
    <row r="1068" ht="30" customHeight="1" spans="1:6">
      <c r="A1068" s="5">
        <v>1066</v>
      </c>
      <c r="B1068" s="5" t="str">
        <f>"36412022010120132872172"</f>
        <v>36412022010120132872172</v>
      </c>
      <c r="C1068" s="5" t="s">
        <v>25</v>
      </c>
      <c r="D1068" s="5" t="str">
        <f>"符迎春"</f>
        <v>符迎春</v>
      </c>
      <c r="E1068" s="5" t="str">
        <f>"女"</f>
        <v>女</v>
      </c>
      <c r="F1068" s="5" t="str">
        <f t="shared" ref="F1068:F1077" si="117">"汉族"</f>
        <v>汉族</v>
      </c>
    </row>
    <row r="1069" ht="30" customHeight="1" spans="1:6">
      <c r="A1069" s="5">
        <v>1067</v>
      </c>
      <c r="B1069" s="5" t="str">
        <f>"36412022010120540972210"</f>
        <v>36412022010120540972210</v>
      </c>
      <c r="C1069" s="5" t="s">
        <v>25</v>
      </c>
      <c r="D1069" s="5" t="str">
        <f>"薛桃花"</f>
        <v>薛桃花</v>
      </c>
      <c r="E1069" s="5" t="str">
        <f>"女"</f>
        <v>女</v>
      </c>
      <c r="F1069" s="5" t="str">
        <f t="shared" si="117"/>
        <v>汉族</v>
      </c>
    </row>
    <row r="1070" ht="30" customHeight="1" spans="1:6">
      <c r="A1070" s="5">
        <v>1068</v>
      </c>
      <c r="B1070" s="5" t="str">
        <f>"36412022010120585172213"</f>
        <v>36412022010120585172213</v>
      </c>
      <c r="C1070" s="5" t="s">
        <v>25</v>
      </c>
      <c r="D1070" s="5" t="str">
        <f>"符彩丽"</f>
        <v>符彩丽</v>
      </c>
      <c r="E1070" s="5" t="str">
        <f>"女"</f>
        <v>女</v>
      </c>
      <c r="F1070" s="5" t="str">
        <f t="shared" si="117"/>
        <v>汉族</v>
      </c>
    </row>
    <row r="1071" ht="30" customHeight="1" spans="1:6">
      <c r="A1071" s="5">
        <v>1069</v>
      </c>
      <c r="B1071" s="5" t="str">
        <f>"36412022010121082572225"</f>
        <v>36412022010121082572225</v>
      </c>
      <c r="C1071" s="5" t="s">
        <v>25</v>
      </c>
      <c r="D1071" s="5" t="str">
        <f>"李可伟"</f>
        <v>李可伟</v>
      </c>
      <c r="E1071" s="5" t="str">
        <f>"男"</f>
        <v>男</v>
      </c>
      <c r="F1071" s="5" t="str">
        <f t="shared" si="117"/>
        <v>汉族</v>
      </c>
    </row>
    <row r="1072" ht="30" customHeight="1" spans="1:6">
      <c r="A1072" s="5">
        <v>1070</v>
      </c>
      <c r="B1072" s="5" t="str">
        <f>"36412022010121121572228"</f>
        <v>36412022010121121572228</v>
      </c>
      <c r="C1072" s="5" t="s">
        <v>25</v>
      </c>
      <c r="D1072" s="5" t="str">
        <f>"陈秀峰"</f>
        <v>陈秀峰</v>
      </c>
      <c r="E1072" s="5" t="str">
        <f t="shared" ref="E1072:E1084" si="118">"女"</f>
        <v>女</v>
      </c>
      <c r="F1072" s="5" t="str">
        <f t="shared" si="117"/>
        <v>汉族</v>
      </c>
    </row>
    <row r="1073" ht="30" customHeight="1" spans="1:6">
      <c r="A1073" s="5">
        <v>1071</v>
      </c>
      <c r="B1073" s="5" t="str">
        <f>"36412022010121311172254"</f>
        <v>36412022010121311172254</v>
      </c>
      <c r="C1073" s="5" t="s">
        <v>25</v>
      </c>
      <c r="D1073" s="5" t="str">
        <f>"何梅霞"</f>
        <v>何梅霞</v>
      </c>
      <c r="E1073" s="5" t="str">
        <f t="shared" si="118"/>
        <v>女</v>
      </c>
      <c r="F1073" s="5" t="str">
        <f t="shared" si="117"/>
        <v>汉族</v>
      </c>
    </row>
    <row r="1074" ht="30" customHeight="1" spans="1:6">
      <c r="A1074" s="5">
        <v>1072</v>
      </c>
      <c r="B1074" s="5" t="str">
        <f>"36412022010121482572275"</f>
        <v>36412022010121482572275</v>
      </c>
      <c r="C1074" s="5" t="s">
        <v>25</v>
      </c>
      <c r="D1074" s="5" t="str">
        <f>"谢琼妹"</f>
        <v>谢琼妹</v>
      </c>
      <c r="E1074" s="5" t="str">
        <f t="shared" si="118"/>
        <v>女</v>
      </c>
      <c r="F1074" s="5" t="str">
        <f t="shared" si="117"/>
        <v>汉族</v>
      </c>
    </row>
    <row r="1075" ht="30" customHeight="1" spans="1:6">
      <c r="A1075" s="5">
        <v>1073</v>
      </c>
      <c r="B1075" s="5" t="str">
        <f>"36412022010122001172286"</f>
        <v>36412022010122001172286</v>
      </c>
      <c r="C1075" s="5" t="s">
        <v>25</v>
      </c>
      <c r="D1075" s="5" t="str">
        <f>"吴小芳"</f>
        <v>吴小芳</v>
      </c>
      <c r="E1075" s="5" t="str">
        <f t="shared" si="118"/>
        <v>女</v>
      </c>
      <c r="F1075" s="5" t="str">
        <f t="shared" si="117"/>
        <v>汉族</v>
      </c>
    </row>
    <row r="1076" ht="30" customHeight="1" spans="1:6">
      <c r="A1076" s="5">
        <v>1074</v>
      </c>
      <c r="B1076" s="5" t="str">
        <f>"36412022010123163672357"</f>
        <v>36412022010123163672357</v>
      </c>
      <c r="C1076" s="5" t="s">
        <v>25</v>
      </c>
      <c r="D1076" s="5" t="str">
        <f>"范少慧"</f>
        <v>范少慧</v>
      </c>
      <c r="E1076" s="5" t="str">
        <f t="shared" si="118"/>
        <v>女</v>
      </c>
      <c r="F1076" s="5" t="str">
        <f t="shared" si="117"/>
        <v>汉族</v>
      </c>
    </row>
    <row r="1077" ht="30" customHeight="1" spans="1:6">
      <c r="A1077" s="5">
        <v>1075</v>
      </c>
      <c r="B1077" s="5" t="str">
        <f>"36412022010123303872362"</f>
        <v>36412022010123303872362</v>
      </c>
      <c r="C1077" s="5" t="s">
        <v>25</v>
      </c>
      <c r="D1077" s="5" t="str">
        <f>"梁丽云"</f>
        <v>梁丽云</v>
      </c>
      <c r="E1077" s="5" t="str">
        <f t="shared" si="118"/>
        <v>女</v>
      </c>
      <c r="F1077" s="5" t="str">
        <f t="shared" si="117"/>
        <v>汉族</v>
      </c>
    </row>
    <row r="1078" ht="30" customHeight="1" spans="1:6">
      <c r="A1078" s="5">
        <v>1076</v>
      </c>
      <c r="B1078" s="5" t="str">
        <f>"36412022010123321172363"</f>
        <v>36412022010123321172363</v>
      </c>
      <c r="C1078" s="5" t="s">
        <v>25</v>
      </c>
      <c r="D1078" s="5" t="str">
        <f>"林诗梦"</f>
        <v>林诗梦</v>
      </c>
      <c r="E1078" s="5" t="str">
        <f t="shared" si="118"/>
        <v>女</v>
      </c>
      <c r="F1078" s="5" t="str">
        <f>"黎族"</f>
        <v>黎族</v>
      </c>
    </row>
    <row r="1079" ht="30" customHeight="1" spans="1:6">
      <c r="A1079" s="5">
        <v>1077</v>
      </c>
      <c r="B1079" s="5" t="str">
        <f>"36412022010123333372365"</f>
        <v>36412022010123333372365</v>
      </c>
      <c r="C1079" s="5" t="s">
        <v>25</v>
      </c>
      <c r="D1079" s="5" t="str">
        <f>"何海来"</f>
        <v>何海来</v>
      </c>
      <c r="E1079" s="5" t="str">
        <f t="shared" si="118"/>
        <v>女</v>
      </c>
      <c r="F1079" s="5" t="str">
        <f t="shared" ref="F1079:F1101" si="119">"汉族"</f>
        <v>汉族</v>
      </c>
    </row>
    <row r="1080" ht="30" customHeight="1" spans="1:6">
      <c r="A1080" s="5">
        <v>1078</v>
      </c>
      <c r="B1080" s="5" t="str">
        <f>"36412022010123364772368"</f>
        <v>36412022010123364772368</v>
      </c>
      <c r="C1080" s="5" t="s">
        <v>25</v>
      </c>
      <c r="D1080" s="5" t="str">
        <f>"陈楠"</f>
        <v>陈楠</v>
      </c>
      <c r="E1080" s="5" t="str">
        <f t="shared" si="118"/>
        <v>女</v>
      </c>
      <c r="F1080" s="5" t="str">
        <f t="shared" si="119"/>
        <v>汉族</v>
      </c>
    </row>
    <row r="1081" ht="30" customHeight="1" spans="1:6">
      <c r="A1081" s="5">
        <v>1079</v>
      </c>
      <c r="B1081" s="5" t="str">
        <f>"36412022010123440072372"</f>
        <v>36412022010123440072372</v>
      </c>
      <c r="C1081" s="5" t="s">
        <v>25</v>
      </c>
      <c r="D1081" s="5" t="str">
        <f>"符造婷"</f>
        <v>符造婷</v>
      </c>
      <c r="E1081" s="5" t="str">
        <f t="shared" si="118"/>
        <v>女</v>
      </c>
      <c r="F1081" s="5" t="str">
        <f t="shared" si="119"/>
        <v>汉族</v>
      </c>
    </row>
    <row r="1082" ht="30" customHeight="1" spans="1:6">
      <c r="A1082" s="5">
        <v>1080</v>
      </c>
      <c r="B1082" s="5" t="str">
        <f>"36412022010207532072412"</f>
        <v>36412022010207532072412</v>
      </c>
      <c r="C1082" s="5" t="s">
        <v>25</v>
      </c>
      <c r="D1082" s="5" t="str">
        <f>"张金娜"</f>
        <v>张金娜</v>
      </c>
      <c r="E1082" s="5" t="str">
        <f t="shared" si="118"/>
        <v>女</v>
      </c>
      <c r="F1082" s="5" t="str">
        <f t="shared" si="119"/>
        <v>汉族</v>
      </c>
    </row>
    <row r="1083" ht="30" customHeight="1" spans="1:6">
      <c r="A1083" s="5">
        <v>1081</v>
      </c>
      <c r="B1083" s="5" t="str">
        <f>"36412022010208145272417"</f>
        <v>36412022010208145272417</v>
      </c>
      <c r="C1083" s="5" t="s">
        <v>25</v>
      </c>
      <c r="D1083" s="5" t="str">
        <f>"张雪"</f>
        <v>张雪</v>
      </c>
      <c r="E1083" s="5" t="str">
        <f t="shared" si="118"/>
        <v>女</v>
      </c>
      <c r="F1083" s="5" t="str">
        <f t="shared" si="119"/>
        <v>汉族</v>
      </c>
    </row>
    <row r="1084" ht="30" customHeight="1" spans="1:6">
      <c r="A1084" s="5">
        <v>1082</v>
      </c>
      <c r="B1084" s="5" t="str">
        <f>"36412022010208462672428"</f>
        <v>36412022010208462672428</v>
      </c>
      <c r="C1084" s="5" t="s">
        <v>25</v>
      </c>
      <c r="D1084" s="5" t="str">
        <f>"黄鹤"</f>
        <v>黄鹤</v>
      </c>
      <c r="E1084" s="5" t="str">
        <f t="shared" si="118"/>
        <v>女</v>
      </c>
      <c r="F1084" s="5" t="str">
        <f t="shared" si="119"/>
        <v>汉族</v>
      </c>
    </row>
    <row r="1085" ht="30" customHeight="1" spans="1:6">
      <c r="A1085" s="5">
        <v>1083</v>
      </c>
      <c r="B1085" s="5" t="str">
        <f>"36412022010209423972484"</f>
        <v>36412022010209423972484</v>
      </c>
      <c r="C1085" s="5" t="s">
        <v>25</v>
      </c>
      <c r="D1085" s="5" t="str">
        <f>"严冬霖"</f>
        <v>严冬霖</v>
      </c>
      <c r="E1085" s="5" t="str">
        <f>"男"</f>
        <v>男</v>
      </c>
      <c r="F1085" s="5" t="str">
        <f t="shared" si="119"/>
        <v>汉族</v>
      </c>
    </row>
    <row r="1086" ht="30" customHeight="1" spans="1:6">
      <c r="A1086" s="5">
        <v>1084</v>
      </c>
      <c r="B1086" s="5" t="str">
        <f>"36412022010210161772523"</f>
        <v>36412022010210161772523</v>
      </c>
      <c r="C1086" s="5" t="s">
        <v>25</v>
      </c>
      <c r="D1086" s="5" t="str">
        <f>"李启栋"</f>
        <v>李启栋</v>
      </c>
      <c r="E1086" s="5" t="str">
        <f>"男"</f>
        <v>男</v>
      </c>
      <c r="F1086" s="5" t="str">
        <f t="shared" si="119"/>
        <v>汉族</v>
      </c>
    </row>
    <row r="1087" ht="30" customHeight="1" spans="1:6">
      <c r="A1087" s="5">
        <v>1085</v>
      </c>
      <c r="B1087" s="5" t="str">
        <f>"36412022010210395772557"</f>
        <v>36412022010210395772557</v>
      </c>
      <c r="C1087" s="5" t="s">
        <v>25</v>
      </c>
      <c r="D1087" s="5" t="str">
        <f>"王定颐"</f>
        <v>王定颐</v>
      </c>
      <c r="E1087" s="5" t="str">
        <f>"女"</f>
        <v>女</v>
      </c>
      <c r="F1087" s="5" t="str">
        <f t="shared" si="119"/>
        <v>汉族</v>
      </c>
    </row>
    <row r="1088" ht="30" customHeight="1" spans="1:6">
      <c r="A1088" s="5">
        <v>1086</v>
      </c>
      <c r="B1088" s="5" t="str">
        <f>"36412022010210490572569"</f>
        <v>36412022010210490572569</v>
      </c>
      <c r="C1088" s="5" t="s">
        <v>25</v>
      </c>
      <c r="D1088" s="5" t="str">
        <f>"许婷婷"</f>
        <v>许婷婷</v>
      </c>
      <c r="E1088" s="5" t="str">
        <f>"女"</f>
        <v>女</v>
      </c>
      <c r="F1088" s="5" t="str">
        <f t="shared" si="119"/>
        <v>汉族</v>
      </c>
    </row>
    <row r="1089" ht="30" customHeight="1" spans="1:6">
      <c r="A1089" s="5">
        <v>1087</v>
      </c>
      <c r="B1089" s="5" t="str">
        <f>"36412022010211075472595"</f>
        <v>36412022010211075472595</v>
      </c>
      <c r="C1089" s="5" t="s">
        <v>25</v>
      </c>
      <c r="D1089" s="5" t="str">
        <f>"彭爱花"</f>
        <v>彭爱花</v>
      </c>
      <c r="E1089" s="5" t="str">
        <f>"女"</f>
        <v>女</v>
      </c>
      <c r="F1089" s="5" t="str">
        <f t="shared" si="119"/>
        <v>汉族</v>
      </c>
    </row>
    <row r="1090" ht="30" customHeight="1" spans="1:6">
      <c r="A1090" s="5">
        <v>1088</v>
      </c>
      <c r="B1090" s="5" t="str">
        <f>"36412022010211350472640"</f>
        <v>36412022010211350472640</v>
      </c>
      <c r="C1090" s="5" t="s">
        <v>25</v>
      </c>
      <c r="D1090" s="5" t="str">
        <f>"李腾婧"</f>
        <v>李腾婧</v>
      </c>
      <c r="E1090" s="5" t="str">
        <f>"女"</f>
        <v>女</v>
      </c>
      <c r="F1090" s="5" t="str">
        <f t="shared" si="119"/>
        <v>汉族</v>
      </c>
    </row>
    <row r="1091" ht="30" customHeight="1" spans="1:6">
      <c r="A1091" s="5">
        <v>1089</v>
      </c>
      <c r="B1091" s="5" t="str">
        <f>"36412022010212082972690"</f>
        <v>36412022010212082972690</v>
      </c>
      <c r="C1091" s="5" t="s">
        <v>25</v>
      </c>
      <c r="D1091" s="5" t="str">
        <f>"吴小琦"</f>
        <v>吴小琦</v>
      </c>
      <c r="E1091" s="5" t="str">
        <f>"女"</f>
        <v>女</v>
      </c>
      <c r="F1091" s="5" t="str">
        <f t="shared" si="119"/>
        <v>汉族</v>
      </c>
    </row>
    <row r="1092" ht="30" customHeight="1" spans="1:6">
      <c r="A1092" s="5">
        <v>1090</v>
      </c>
      <c r="B1092" s="5" t="str">
        <f>"36412022010212505172746"</f>
        <v>36412022010212505172746</v>
      </c>
      <c r="C1092" s="5" t="s">
        <v>25</v>
      </c>
      <c r="D1092" s="5" t="str">
        <f>"吴生武"</f>
        <v>吴生武</v>
      </c>
      <c r="E1092" s="5" t="str">
        <f>"男"</f>
        <v>男</v>
      </c>
      <c r="F1092" s="5" t="str">
        <f t="shared" si="119"/>
        <v>汉族</v>
      </c>
    </row>
    <row r="1093" ht="30" customHeight="1" spans="1:6">
      <c r="A1093" s="5">
        <v>1091</v>
      </c>
      <c r="B1093" s="5" t="str">
        <f>"36412022010212552172749"</f>
        <v>36412022010212552172749</v>
      </c>
      <c r="C1093" s="5" t="s">
        <v>25</v>
      </c>
      <c r="D1093" s="5" t="str">
        <f>"冯海颜"</f>
        <v>冯海颜</v>
      </c>
      <c r="E1093" s="5" t="str">
        <f t="shared" ref="E1093:E1101" si="120">"女"</f>
        <v>女</v>
      </c>
      <c r="F1093" s="5" t="str">
        <f t="shared" si="119"/>
        <v>汉族</v>
      </c>
    </row>
    <row r="1094" ht="30" customHeight="1" spans="1:6">
      <c r="A1094" s="5">
        <v>1092</v>
      </c>
      <c r="B1094" s="5" t="str">
        <f>"36412022010213300972788"</f>
        <v>36412022010213300972788</v>
      </c>
      <c r="C1094" s="5" t="s">
        <v>25</v>
      </c>
      <c r="D1094" s="5" t="str">
        <f>"王艳妹"</f>
        <v>王艳妹</v>
      </c>
      <c r="E1094" s="5" t="str">
        <f t="shared" si="120"/>
        <v>女</v>
      </c>
      <c r="F1094" s="5" t="str">
        <f t="shared" si="119"/>
        <v>汉族</v>
      </c>
    </row>
    <row r="1095" ht="30" customHeight="1" spans="1:6">
      <c r="A1095" s="5">
        <v>1093</v>
      </c>
      <c r="B1095" s="5" t="str">
        <f>"36412022010214555272892"</f>
        <v>36412022010214555272892</v>
      </c>
      <c r="C1095" s="5" t="s">
        <v>25</v>
      </c>
      <c r="D1095" s="5" t="str">
        <f>"赵凤君"</f>
        <v>赵凤君</v>
      </c>
      <c r="E1095" s="5" t="str">
        <f t="shared" si="120"/>
        <v>女</v>
      </c>
      <c r="F1095" s="5" t="str">
        <f t="shared" si="119"/>
        <v>汉族</v>
      </c>
    </row>
    <row r="1096" ht="30" customHeight="1" spans="1:6">
      <c r="A1096" s="5">
        <v>1094</v>
      </c>
      <c r="B1096" s="5" t="str">
        <f>"36412022010215141772914"</f>
        <v>36412022010215141772914</v>
      </c>
      <c r="C1096" s="5" t="s">
        <v>25</v>
      </c>
      <c r="D1096" s="5" t="str">
        <f>"范世鹰"</f>
        <v>范世鹰</v>
      </c>
      <c r="E1096" s="5" t="str">
        <f t="shared" si="120"/>
        <v>女</v>
      </c>
      <c r="F1096" s="5" t="str">
        <f t="shared" si="119"/>
        <v>汉族</v>
      </c>
    </row>
    <row r="1097" ht="30" customHeight="1" spans="1:6">
      <c r="A1097" s="5">
        <v>1095</v>
      </c>
      <c r="B1097" s="5" t="str">
        <f>"36412022010215330272935"</f>
        <v>36412022010215330272935</v>
      </c>
      <c r="C1097" s="5" t="s">
        <v>25</v>
      </c>
      <c r="D1097" s="5" t="str">
        <f>"池景华"</f>
        <v>池景华</v>
      </c>
      <c r="E1097" s="5" t="str">
        <f t="shared" si="120"/>
        <v>女</v>
      </c>
      <c r="F1097" s="5" t="str">
        <f t="shared" si="119"/>
        <v>汉族</v>
      </c>
    </row>
    <row r="1098" ht="30" customHeight="1" spans="1:6">
      <c r="A1098" s="5">
        <v>1096</v>
      </c>
      <c r="B1098" s="5" t="str">
        <f>"36412022010217002273039"</f>
        <v>36412022010217002273039</v>
      </c>
      <c r="C1098" s="5" t="s">
        <v>25</v>
      </c>
      <c r="D1098" s="5" t="str">
        <f>"莫小玲"</f>
        <v>莫小玲</v>
      </c>
      <c r="E1098" s="5" t="str">
        <f t="shared" si="120"/>
        <v>女</v>
      </c>
      <c r="F1098" s="5" t="str">
        <f t="shared" si="119"/>
        <v>汉族</v>
      </c>
    </row>
    <row r="1099" ht="30" customHeight="1" spans="1:6">
      <c r="A1099" s="5">
        <v>1097</v>
      </c>
      <c r="B1099" s="5" t="str">
        <f>"36412022010219421273194"</f>
        <v>36412022010219421273194</v>
      </c>
      <c r="C1099" s="5" t="s">
        <v>25</v>
      </c>
      <c r="D1099" s="5" t="str">
        <f>"王小莉"</f>
        <v>王小莉</v>
      </c>
      <c r="E1099" s="5" t="str">
        <f t="shared" si="120"/>
        <v>女</v>
      </c>
      <c r="F1099" s="5" t="str">
        <f t="shared" si="119"/>
        <v>汉族</v>
      </c>
    </row>
    <row r="1100" ht="30" customHeight="1" spans="1:6">
      <c r="A1100" s="5">
        <v>1098</v>
      </c>
      <c r="B1100" s="5" t="str">
        <f>"36412022010219593673216"</f>
        <v>36412022010219593673216</v>
      </c>
      <c r="C1100" s="5" t="s">
        <v>25</v>
      </c>
      <c r="D1100" s="5" t="str">
        <f>"符慧慧"</f>
        <v>符慧慧</v>
      </c>
      <c r="E1100" s="5" t="str">
        <f t="shared" si="120"/>
        <v>女</v>
      </c>
      <c r="F1100" s="5" t="str">
        <f t="shared" si="119"/>
        <v>汉族</v>
      </c>
    </row>
    <row r="1101" ht="30" customHeight="1" spans="1:6">
      <c r="A1101" s="5">
        <v>1099</v>
      </c>
      <c r="B1101" s="5" t="str">
        <f>"36412022010220590073278"</f>
        <v>36412022010220590073278</v>
      </c>
      <c r="C1101" s="5" t="s">
        <v>25</v>
      </c>
      <c r="D1101" s="5" t="str">
        <f>"李婉君"</f>
        <v>李婉君</v>
      </c>
      <c r="E1101" s="5" t="str">
        <f t="shared" si="120"/>
        <v>女</v>
      </c>
      <c r="F1101" s="5" t="str">
        <f t="shared" si="119"/>
        <v>汉族</v>
      </c>
    </row>
    <row r="1102" ht="30" customHeight="1" spans="1:6">
      <c r="A1102" s="5">
        <v>1100</v>
      </c>
      <c r="B1102" s="5" t="str">
        <f>"36412022010221000073279"</f>
        <v>36412022010221000073279</v>
      </c>
      <c r="C1102" s="5" t="s">
        <v>25</v>
      </c>
      <c r="D1102" s="5" t="str">
        <f>"吴世雍"</f>
        <v>吴世雍</v>
      </c>
      <c r="E1102" s="5" t="str">
        <f>"男"</f>
        <v>男</v>
      </c>
      <c r="F1102" s="5" t="str">
        <f>"黎族"</f>
        <v>黎族</v>
      </c>
    </row>
    <row r="1103" ht="30" customHeight="1" spans="1:6">
      <c r="A1103" s="5">
        <v>1101</v>
      </c>
      <c r="B1103" s="5" t="str">
        <f>"36412022010221084173289"</f>
        <v>36412022010221084173289</v>
      </c>
      <c r="C1103" s="5" t="s">
        <v>25</v>
      </c>
      <c r="D1103" s="5" t="str">
        <f>"钟钰清"</f>
        <v>钟钰清</v>
      </c>
      <c r="E1103" s="5" t="str">
        <f>"女"</f>
        <v>女</v>
      </c>
      <c r="F1103" s="5" t="str">
        <f>"汉族"</f>
        <v>汉族</v>
      </c>
    </row>
    <row r="1104" ht="30" customHeight="1" spans="1:6">
      <c r="A1104" s="5">
        <v>1102</v>
      </c>
      <c r="B1104" s="5" t="str">
        <f>"36412022010221312773319"</f>
        <v>36412022010221312773319</v>
      </c>
      <c r="C1104" s="5" t="s">
        <v>25</v>
      </c>
      <c r="D1104" s="5" t="str">
        <f>"邓华清"</f>
        <v>邓华清</v>
      </c>
      <c r="E1104" s="5" t="str">
        <f>"女"</f>
        <v>女</v>
      </c>
      <c r="F1104" s="5" t="str">
        <f>"汉族"</f>
        <v>汉族</v>
      </c>
    </row>
    <row r="1105" ht="30" customHeight="1" spans="1:6">
      <c r="A1105" s="5">
        <v>1103</v>
      </c>
      <c r="B1105" s="5" t="str">
        <f>"36412022010221364173327"</f>
        <v>36412022010221364173327</v>
      </c>
      <c r="C1105" s="5" t="s">
        <v>25</v>
      </c>
      <c r="D1105" s="5" t="str">
        <f>"郭秀霞"</f>
        <v>郭秀霞</v>
      </c>
      <c r="E1105" s="5" t="str">
        <f>"女"</f>
        <v>女</v>
      </c>
      <c r="F1105" s="5" t="str">
        <f>"汉族"</f>
        <v>汉族</v>
      </c>
    </row>
    <row r="1106" ht="30" customHeight="1" spans="1:6">
      <c r="A1106" s="5">
        <v>1104</v>
      </c>
      <c r="B1106" s="5" t="str">
        <f>"36412022010222205873377"</f>
        <v>36412022010222205873377</v>
      </c>
      <c r="C1106" s="5" t="s">
        <v>25</v>
      </c>
      <c r="D1106" s="5" t="str">
        <f>"柯桃汉"</f>
        <v>柯桃汉</v>
      </c>
      <c r="E1106" s="5" t="str">
        <f>"男"</f>
        <v>男</v>
      </c>
      <c r="F1106" s="5" t="str">
        <f>"汉族"</f>
        <v>汉族</v>
      </c>
    </row>
    <row r="1107" ht="30" customHeight="1" spans="1:6">
      <c r="A1107" s="5">
        <v>1105</v>
      </c>
      <c r="B1107" s="5" t="str">
        <f>"36412022010222225973380"</f>
        <v>36412022010222225973380</v>
      </c>
      <c r="C1107" s="5" t="s">
        <v>25</v>
      </c>
      <c r="D1107" s="5" t="str">
        <f>"郭震"</f>
        <v>郭震</v>
      </c>
      <c r="E1107" s="5" t="str">
        <f t="shared" ref="E1107:E1125" si="121">"女"</f>
        <v>女</v>
      </c>
      <c r="F1107" s="5" t="str">
        <f>"回族"</f>
        <v>回族</v>
      </c>
    </row>
    <row r="1108" ht="30" customHeight="1" spans="1:6">
      <c r="A1108" s="5">
        <v>1106</v>
      </c>
      <c r="B1108" s="5" t="str">
        <f>"36412022010222492073401"</f>
        <v>36412022010222492073401</v>
      </c>
      <c r="C1108" s="5" t="s">
        <v>25</v>
      </c>
      <c r="D1108" s="5" t="str">
        <f>"钟信念"</f>
        <v>钟信念</v>
      </c>
      <c r="E1108" s="5" t="str">
        <f t="shared" si="121"/>
        <v>女</v>
      </c>
      <c r="F1108" s="5" t="str">
        <f t="shared" ref="F1108:F1118" si="122">"汉族"</f>
        <v>汉族</v>
      </c>
    </row>
    <row r="1109" ht="30" customHeight="1" spans="1:6">
      <c r="A1109" s="5">
        <v>1107</v>
      </c>
      <c r="B1109" s="5" t="str">
        <f>"36412022010223091973415"</f>
        <v>36412022010223091973415</v>
      </c>
      <c r="C1109" s="5" t="s">
        <v>25</v>
      </c>
      <c r="D1109" s="5" t="str">
        <f>"程娟"</f>
        <v>程娟</v>
      </c>
      <c r="E1109" s="5" t="str">
        <f t="shared" si="121"/>
        <v>女</v>
      </c>
      <c r="F1109" s="5" t="str">
        <f t="shared" si="122"/>
        <v>汉族</v>
      </c>
    </row>
    <row r="1110" ht="30" customHeight="1" spans="1:6">
      <c r="A1110" s="5">
        <v>1108</v>
      </c>
      <c r="B1110" s="5" t="str">
        <f>"36412022010223254973424"</f>
        <v>36412022010223254973424</v>
      </c>
      <c r="C1110" s="5" t="s">
        <v>25</v>
      </c>
      <c r="D1110" s="5" t="str">
        <f>"程妹"</f>
        <v>程妹</v>
      </c>
      <c r="E1110" s="5" t="str">
        <f t="shared" si="121"/>
        <v>女</v>
      </c>
      <c r="F1110" s="5" t="str">
        <f t="shared" si="122"/>
        <v>汉族</v>
      </c>
    </row>
    <row r="1111" ht="30" customHeight="1" spans="1:6">
      <c r="A1111" s="5">
        <v>1109</v>
      </c>
      <c r="B1111" s="5" t="str">
        <f>"36412022010309201973748"</f>
        <v>36412022010309201973748</v>
      </c>
      <c r="C1111" s="5" t="s">
        <v>25</v>
      </c>
      <c r="D1111" s="5" t="str">
        <f>"程子隽"</f>
        <v>程子隽</v>
      </c>
      <c r="E1111" s="5" t="str">
        <f t="shared" si="121"/>
        <v>女</v>
      </c>
      <c r="F1111" s="5" t="str">
        <f t="shared" si="122"/>
        <v>汉族</v>
      </c>
    </row>
    <row r="1112" ht="30" customHeight="1" spans="1:6">
      <c r="A1112" s="5">
        <v>1110</v>
      </c>
      <c r="B1112" s="5" t="str">
        <f>"36412022010309535373910"</f>
        <v>36412022010309535373910</v>
      </c>
      <c r="C1112" s="5" t="s">
        <v>25</v>
      </c>
      <c r="D1112" s="5" t="str">
        <f>"王丹苗"</f>
        <v>王丹苗</v>
      </c>
      <c r="E1112" s="5" t="str">
        <f t="shared" si="121"/>
        <v>女</v>
      </c>
      <c r="F1112" s="5" t="str">
        <f t="shared" si="122"/>
        <v>汉族</v>
      </c>
    </row>
    <row r="1113" ht="30" customHeight="1" spans="1:6">
      <c r="A1113" s="5">
        <v>1111</v>
      </c>
      <c r="B1113" s="5" t="str">
        <f>"36412022010310075773983"</f>
        <v>36412022010310075773983</v>
      </c>
      <c r="C1113" s="5" t="s">
        <v>25</v>
      </c>
      <c r="D1113" s="5" t="str">
        <f>"邢玉兰"</f>
        <v>邢玉兰</v>
      </c>
      <c r="E1113" s="5" t="str">
        <f t="shared" si="121"/>
        <v>女</v>
      </c>
      <c r="F1113" s="5" t="str">
        <f t="shared" si="122"/>
        <v>汉族</v>
      </c>
    </row>
    <row r="1114" ht="30" customHeight="1" spans="1:6">
      <c r="A1114" s="5">
        <v>1112</v>
      </c>
      <c r="B1114" s="5" t="str">
        <f>"36412022010310480274213"</f>
        <v>36412022010310480274213</v>
      </c>
      <c r="C1114" s="5" t="s">
        <v>25</v>
      </c>
      <c r="D1114" s="5" t="str">
        <f>"陈祥月"</f>
        <v>陈祥月</v>
      </c>
      <c r="E1114" s="5" t="str">
        <f t="shared" si="121"/>
        <v>女</v>
      </c>
      <c r="F1114" s="5" t="str">
        <f t="shared" si="122"/>
        <v>汉族</v>
      </c>
    </row>
    <row r="1115" ht="30" customHeight="1" spans="1:6">
      <c r="A1115" s="5">
        <v>1113</v>
      </c>
      <c r="B1115" s="5" t="str">
        <f>"36412022010310551274247"</f>
        <v>36412022010310551274247</v>
      </c>
      <c r="C1115" s="5" t="s">
        <v>25</v>
      </c>
      <c r="D1115" s="5" t="str">
        <f>"王娟"</f>
        <v>王娟</v>
      </c>
      <c r="E1115" s="5" t="str">
        <f t="shared" si="121"/>
        <v>女</v>
      </c>
      <c r="F1115" s="5" t="str">
        <f t="shared" si="122"/>
        <v>汉族</v>
      </c>
    </row>
    <row r="1116" ht="30" customHeight="1" spans="1:6">
      <c r="A1116" s="5">
        <v>1114</v>
      </c>
      <c r="B1116" s="5" t="str">
        <f>"36412022010311013774279"</f>
        <v>36412022010311013774279</v>
      </c>
      <c r="C1116" s="5" t="s">
        <v>25</v>
      </c>
      <c r="D1116" s="5" t="str">
        <f>"岑文静"</f>
        <v>岑文静</v>
      </c>
      <c r="E1116" s="5" t="str">
        <f t="shared" si="121"/>
        <v>女</v>
      </c>
      <c r="F1116" s="5" t="str">
        <f t="shared" si="122"/>
        <v>汉族</v>
      </c>
    </row>
    <row r="1117" ht="30" customHeight="1" spans="1:6">
      <c r="A1117" s="5">
        <v>1115</v>
      </c>
      <c r="B1117" s="5" t="str">
        <f>"36412022010311395274489"</f>
        <v>36412022010311395274489</v>
      </c>
      <c r="C1117" s="5" t="s">
        <v>25</v>
      </c>
      <c r="D1117" s="5" t="str">
        <f>"李日美"</f>
        <v>李日美</v>
      </c>
      <c r="E1117" s="5" t="str">
        <f t="shared" si="121"/>
        <v>女</v>
      </c>
      <c r="F1117" s="5" t="str">
        <f t="shared" si="122"/>
        <v>汉族</v>
      </c>
    </row>
    <row r="1118" ht="30" customHeight="1" spans="1:6">
      <c r="A1118" s="5">
        <v>1116</v>
      </c>
      <c r="B1118" s="5" t="str">
        <f>"36412022010312083474633"</f>
        <v>36412022010312083474633</v>
      </c>
      <c r="C1118" s="5" t="s">
        <v>25</v>
      </c>
      <c r="D1118" s="5" t="str">
        <f>"曾婷"</f>
        <v>曾婷</v>
      </c>
      <c r="E1118" s="5" t="str">
        <f t="shared" si="121"/>
        <v>女</v>
      </c>
      <c r="F1118" s="5" t="str">
        <f t="shared" si="122"/>
        <v>汉族</v>
      </c>
    </row>
    <row r="1119" ht="30" customHeight="1" spans="1:6">
      <c r="A1119" s="5">
        <v>1117</v>
      </c>
      <c r="B1119" s="5" t="str">
        <f>"36412022010312250074696"</f>
        <v>36412022010312250074696</v>
      </c>
      <c r="C1119" s="5" t="s">
        <v>25</v>
      </c>
      <c r="D1119" s="5" t="str">
        <f>"文富运"</f>
        <v>文富运</v>
      </c>
      <c r="E1119" s="5" t="str">
        <f t="shared" si="121"/>
        <v>女</v>
      </c>
      <c r="F1119" s="5" t="str">
        <f>"黎族"</f>
        <v>黎族</v>
      </c>
    </row>
    <row r="1120" ht="30" customHeight="1" spans="1:6">
      <c r="A1120" s="5">
        <v>1118</v>
      </c>
      <c r="B1120" s="5" t="str">
        <f>"36412022010314025375103"</f>
        <v>36412022010314025375103</v>
      </c>
      <c r="C1120" s="5" t="s">
        <v>25</v>
      </c>
      <c r="D1120" s="5" t="str">
        <f>"唐佳丽"</f>
        <v>唐佳丽</v>
      </c>
      <c r="E1120" s="5" t="str">
        <f t="shared" si="121"/>
        <v>女</v>
      </c>
      <c r="F1120" s="5" t="str">
        <f t="shared" ref="F1120:F1148" si="123">"汉族"</f>
        <v>汉族</v>
      </c>
    </row>
    <row r="1121" ht="30" customHeight="1" spans="1:6">
      <c r="A1121" s="5">
        <v>1119</v>
      </c>
      <c r="B1121" s="5" t="str">
        <f>"36412022010314351775219"</f>
        <v>36412022010314351775219</v>
      </c>
      <c r="C1121" s="5" t="s">
        <v>25</v>
      </c>
      <c r="D1121" s="5" t="str">
        <f>"缪丽娟"</f>
        <v>缪丽娟</v>
      </c>
      <c r="E1121" s="5" t="str">
        <f t="shared" si="121"/>
        <v>女</v>
      </c>
      <c r="F1121" s="5" t="str">
        <f t="shared" si="123"/>
        <v>汉族</v>
      </c>
    </row>
    <row r="1122" ht="30" customHeight="1" spans="1:6">
      <c r="A1122" s="5">
        <v>1120</v>
      </c>
      <c r="B1122" s="5" t="str">
        <f>"36412022010316005775531"</f>
        <v>36412022010316005775531</v>
      </c>
      <c r="C1122" s="5" t="s">
        <v>25</v>
      </c>
      <c r="D1122" s="5" t="str">
        <f>"林丽"</f>
        <v>林丽</v>
      </c>
      <c r="E1122" s="5" t="str">
        <f t="shared" si="121"/>
        <v>女</v>
      </c>
      <c r="F1122" s="5" t="str">
        <f t="shared" si="123"/>
        <v>汉族</v>
      </c>
    </row>
    <row r="1123" ht="30" customHeight="1" spans="1:6">
      <c r="A1123" s="5">
        <v>1121</v>
      </c>
      <c r="B1123" s="5" t="str">
        <f>"36412022010316244075606"</f>
        <v>36412022010316244075606</v>
      </c>
      <c r="C1123" s="5" t="s">
        <v>25</v>
      </c>
      <c r="D1123" s="5" t="str">
        <f>"苏丽雪"</f>
        <v>苏丽雪</v>
      </c>
      <c r="E1123" s="5" t="str">
        <f t="shared" si="121"/>
        <v>女</v>
      </c>
      <c r="F1123" s="5" t="str">
        <f t="shared" si="123"/>
        <v>汉族</v>
      </c>
    </row>
    <row r="1124" ht="30" customHeight="1" spans="1:6">
      <c r="A1124" s="5">
        <v>1122</v>
      </c>
      <c r="B1124" s="5" t="str">
        <f>"36412022010316552075717"</f>
        <v>36412022010316552075717</v>
      </c>
      <c r="C1124" s="5" t="s">
        <v>25</v>
      </c>
      <c r="D1124" s="5" t="str">
        <f>"翁先仙"</f>
        <v>翁先仙</v>
      </c>
      <c r="E1124" s="5" t="str">
        <f t="shared" si="121"/>
        <v>女</v>
      </c>
      <c r="F1124" s="5" t="str">
        <f t="shared" si="123"/>
        <v>汉族</v>
      </c>
    </row>
    <row r="1125" ht="30" customHeight="1" spans="1:6">
      <c r="A1125" s="5">
        <v>1123</v>
      </c>
      <c r="B1125" s="5" t="str">
        <f>"36412022010317514575894"</f>
        <v>36412022010317514575894</v>
      </c>
      <c r="C1125" s="5" t="s">
        <v>25</v>
      </c>
      <c r="D1125" s="5" t="str">
        <f>"邓真利"</f>
        <v>邓真利</v>
      </c>
      <c r="E1125" s="5" t="str">
        <f t="shared" si="121"/>
        <v>女</v>
      </c>
      <c r="F1125" s="5" t="str">
        <f t="shared" si="123"/>
        <v>汉族</v>
      </c>
    </row>
    <row r="1126" ht="30" customHeight="1" spans="1:6">
      <c r="A1126" s="5">
        <v>1124</v>
      </c>
      <c r="B1126" s="5" t="str">
        <f>"36412022010318471276057"</f>
        <v>36412022010318471276057</v>
      </c>
      <c r="C1126" s="5" t="s">
        <v>25</v>
      </c>
      <c r="D1126" s="5" t="str">
        <f>"李杰"</f>
        <v>李杰</v>
      </c>
      <c r="E1126" s="5" t="str">
        <f>"男"</f>
        <v>男</v>
      </c>
      <c r="F1126" s="5" t="str">
        <f t="shared" si="123"/>
        <v>汉族</v>
      </c>
    </row>
    <row r="1127" ht="30" customHeight="1" spans="1:6">
      <c r="A1127" s="5">
        <v>1125</v>
      </c>
      <c r="B1127" s="5" t="str">
        <f>"36412022010319164076169"</f>
        <v>36412022010319164076169</v>
      </c>
      <c r="C1127" s="5" t="s">
        <v>25</v>
      </c>
      <c r="D1127" s="5" t="str">
        <f>"陈茂"</f>
        <v>陈茂</v>
      </c>
      <c r="E1127" s="5" t="str">
        <f>"女"</f>
        <v>女</v>
      </c>
      <c r="F1127" s="5" t="str">
        <f t="shared" si="123"/>
        <v>汉族</v>
      </c>
    </row>
    <row r="1128" ht="30" customHeight="1" spans="1:6">
      <c r="A1128" s="5">
        <v>1126</v>
      </c>
      <c r="B1128" s="5" t="str">
        <f>"36412022010319320176207"</f>
        <v>36412022010319320176207</v>
      </c>
      <c r="C1128" s="5" t="s">
        <v>25</v>
      </c>
      <c r="D1128" s="5" t="str">
        <f>"傅圆圆"</f>
        <v>傅圆圆</v>
      </c>
      <c r="E1128" s="5" t="str">
        <f>"女"</f>
        <v>女</v>
      </c>
      <c r="F1128" s="5" t="str">
        <f t="shared" si="123"/>
        <v>汉族</v>
      </c>
    </row>
    <row r="1129" ht="30" customHeight="1" spans="1:6">
      <c r="A1129" s="5">
        <v>1127</v>
      </c>
      <c r="B1129" s="5" t="str">
        <f>"36412022010319473376255"</f>
        <v>36412022010319473376255</v>
      </c>
      <c r="C1129" s="5" t="s">
        <v>25</v>
      </c>
      <c r="D1129" s="5" t="str">
        <f>"冯蕾"</f>
        <v>冯蕾</v>
      </c>
      <c r="E1129" s="5" t="str">
        <f>"女"</f>
        <v>女</v>
      </c>
      <c r="F1129" s="5" t="str">
        <f t="shared" si="123"/>
        <v>汉族</v>
      </c>
    </row>
    <row r="1130" ht="30" customHeight="1" spans="1:6">
      <c r="A1130" s="5">
        <v>1128</v>
      </c>
      <c r="B1130" s="5" t="str">
        <f>"36412022010320184476371"</f>
        <v>36412022010320184476371</v>
      </c>
      <c r="C1130" s="5" t="s">
        <v>25</v>
      </c>
      <c r="D1130" s="5" t="str">
        <f>"黄祥奇"</f>
        <v>黄祥奇</v>
      </c>
      <c r="E1130" s="5" t="str">
        <f>"男"</f>
        <v>男</v>
      </c>
      <c r="F1130" s="5" t="str">
        <f t="shared" si="123"/>
        <v>汉族</v>
      </c>
    </row>
    <row r="1131" ht="30" customHeight="1" spans="1:6">
      <c r="A1131" s="5">
        <v>1129</v>
      </c>
      <c r="B1131" s="5" t="str">
        <f>"36412022010320184576372"</f>
        <v>36412022010320184576372</v>
      </c>
      <c r="C1131" s="5" t="s">
        <v>25</v>
      </c>
      <c r="D1131" s="5" t="str">
        <f>"周吉春"</f>
        <v>周吉春</v>
      </c>
      <c r="E1131" s="5" t="str">
        <f>"女"</f>
        <v>女</v>
      </c>
      <c r="F1131" s="5" t="str">
        <f t="shared" si="123"/>
        <v>汉族</v>
      </c>
    </row>
    <row r="1132" ht="30" customHeight="1" spans="1:6">
      <c r="A1132" s="5">
        <v>1130</v>
      </c>
      <c r="B1132" s="5" t="str">
        <f>"36412022010321502276653"</f>
        <v>36412022010321502276653</v>
      </c>
      <c r="C1132" s="5" t="s">
        <v>25</v>
      </c>
      <c r="D1132" s="5" t="str">
        <f>"陈立梅"</f>
        <v>陈立梅</v>
      </c>
      <c r="E1132" s="5" t="str">
        <f>"女"</f>
        <v>女</v>
      </c>
      <c r="F1132" s="5" t="str">
        <f t="shared" si="123"/>
        <v>汉族</v>
      </c>
    </row>
    <row r="1133" ht="30" customHeight="1" spans="1:6">
      <c r="A1133" s="5">
        <v>1131</v>
      </c>
      <c r="B1133" s="5" t="str">
        <f>"36412022010322112176728"</f>
        <v>36412022010322112176728</v>
      </c>
      <c r="C1133" s="5" t="s">
        <v>25</v>
      </c>
      <c r="D1133" s="5" t="str">
        <f>"任琳琳"</f>
        <v>任琳琳</v>
      </c>
      <c r="E1133" s="5" t="str">
        <f>"女"</f>
        <v>女</v>
      </c>
      <c r="F1133" s="5" t="str">
        <f t="shared" si="123"/>
        <v>汉族</v>
      </c>
    </row>
    <row r="1134" ht="30" customHeight="1" spans="1:6">
      <c r="A1134" s="5">
        <v>1132</v>
      </c>
      <c r="B1134" s="5" t="str">
        <f>"36412022010322323176781"</f>
        <v>36412022010322323176781</v>
      </c>
      <c r="C1134" s="5" t="s">
        <v>25</v>
      </c>
      <c r="D1134" s="5" t="str">
        <f>"钟孝敬"</f>
        <v>钟孝敬</v>
      </c>
      <c r="E1134" s="5" t="str">
        <f>"男"</f>
        <v>男</v>
      </c>
      <c r="F1134" s="5" t="str">
        <f t="shared" si="123"/>
        <v>汉族</v>
      </c>
    </row>
    <row r="1135" ht="30" customHeight="1" spans="1:6">
      <c r="A1135" s="5">
        <v>1133</v>
      </c>
      <c r="B1135" s="5" t="str">
        <f>"36412022010323220976899"</f>
        <v>36412022010323220976899</v>
      </c>
      <c r="C1135" s="5" t="s">
        <v>25</v>
      </c>
      <c r="D1135" s="5" t="str">
        <f>"陈琼"</f>
        <v>陈琼</v>
      </c>
      <c r="E1135" s="5" t="str">
        <f t="shared" ref="E1135:E1141" si="124">"女"</f>
        <v>女</v>
      </c>
      <c r="F1135" s="5" t="str">
        <f t="shared" si="123"/>
        <v>汉族</v>
      </c>
    </row>
    <row r="1136" ht="30" customHeight="1" spans="1:6">
      <c r="A1136" s="5">
        <v>1134</v>
      </c>
      <c r="B1136" s="5" t="str">
        <f>"36412022010323513776941"</f>
        <v>36412022010323513776941</v>
      </c>
      <c r="C1136" s="5" t="s">
        <v>25</v>
      </c>
      <c r="D1136" s="5" t="str">
        <f>"曾一晗"</f>
        <v>曾一晗</v>
      </c>
      <c r="E1136" s="5" t="str">
        <f t="shared" si="124"/>
        <v>女</v>
      </c>
      <c r="F1136" s="5" t="str">
        <f t="shared" si="123"/>
        <v>汉族</v>
      </c>
    </row>
    <row r="1137" ht="30" customHeight="1" spans="1:6">
      <c r="A1137" s="5">
        <v>1135</v>
      </c>
      <c r="B1137" s="5" t="str">
        <f>"36412022010400011876957"</f>
        <v>36412022010400011876957</v>
      </c>
      <c r="C1137" s="5" t="s">
        <v>25</v>
      </c>
      <c r="D1137" s="5" t="str">
        <f>"谭秋燕"</f>
        <v>谭秋燕</v>
      </c>
      <c r="E1137" s="5" t="str">
        <f t="shared" si="124"/>
        <v>女</v>
      </c>
      <c r="F1137" s="5" t="str">
        <f t="shared" si="123"/>
        <v>汉族</v>
      </c>
    </row>
    <row r="1138" ht="30" customHeight="1" spans="1:6">
      <c r="A1138" s="5">
        <v>1136</v>
      </c>
      <c r="B1138" s="5" t="str">
        <f>"36412022010402252477030"</f>
        <v>36412022010402252477030</v>
      </c>
      <c r="C1138" s="5" t="s">
        <v>25</v>
      </c>
      <c r="D1138" s="5" t="str">
        <f>"李玉小"</f>
        <v>李玉小</v>
      </c>
      <c r="E1138" s="5" t="str">
        <f t="shared" si="124"/>
        <v>女</v>
      </c>
      <c r="F1138" s="5" t="str">
        <f t="shared" si="123"/>
        <v>汉族</v>
      </c>
    </row>
    <row r="1139" ht="30" customHeight="1" spans="1:6">
      <c r="A1139" s="5">
        <v>1137</v>
      </c>
      <c r="B1139" s="5" t="str">
        <f>"36412022010407073377051"</f>
        <v>36412022010407073377051</v>
      </c>
      <c r="C1139" s="5" t="s">
        <v>25</v>
      </c>
      <c r="D1139" s="5" t="str">
        <f>"刘红梦"</f>
        <v>刘红梦</v>
      </c>
      <c r="E1139" s="5" t="str">
        <f t="shared" si="124"/>
        <v>女</v>
      </c>
      <c r="F1139" s="5" t="str">
        <f t="shared" si="123"/>
        <v>汉族</v>
      </c>
    </row>
    <row r="1140" ht="30" customHeight="1" spans="1:6">
      <c r="A1140" s="5">
        <v>1138</v>
      </c>
      <c r="B1140" s="5" t="str">
        <f>"36412022010407502277075"</f>
        <v>36412022010407502277075</v>
      </c>
      <c r="C1140" s="5" t="s">
        <v>25</v>
      </c>
      <c r="D1140" s="5" t="str">
        <f>"方子玉"</f>
        <v>方子玉</v>
      </c>
      <c r="E1140" s="5" t="str">
        <f t="shared" si="124"/>
        <v>女</v>
      </c>
      <c r="F1140" s="5" t="str">
        <f t="shared" si="123"/>
        <v>汉族</v>
      </c>
    </row>
    <row r="1141" ht="30" customHeight="1" spans="1:6">
      <c r="A1141" s="5">
        <v>1139</v>
      </c>
      <c r="B1141" s="5" t="str">
        <f>"36412022010407545677080"</f>
        <v>36412022010407545677080</v>
      </c>
      <c r="C1141" s="5" t="s">
        <v>25</v>
      </c>
      <c r="D1141" s="5" t="str">
        <f>"黎仁莎"</f>
        <v>黎仁莎</v>
      </c>
      <c r="E1141" s="5" t="str">
        <f t="shared" si="124"/>
        <v>女</v>
      </c>
      <c r="F1141" s="5" t="str">
        <f t="shared" si="123"/>
        <v>汉族</v>
      </c>
    </row>
    <row r="1142" ht="30" customHeight="1" spans="1:6">
      <c r="A1142" s="5">
        <v>1140</v>
      </c>
      <c r="B1142" s="5" t="str">
        <f>"36412022010408363077233"</f>
        <v>36412022010408363077233</v>
      </c>
      <c r="C1142" s="5" t="s">
        <v>25</v>
      </c>
      <c r="D1142" s="5" t="str">
        <f>"汤玉棋"</f>
        <v>汤玉棋</v>
      </c>
      <c r="E1142" s="5" t="str">
        <f>"男"</f>
        <v>男</v>
      </c>
      <c r="F1142" s="5" t="str">
        <f t="shared" si="123"/>
        <v>汉族</v>
      </c>
    </row>
    <row r="1143" ht="30" customHeight="1" spans="1:6">
      <c r="A1143" s="5">
        <v>1141</v>
      </c>
      <c r="B1143" s="5" t="str">
        <f>"36412022010408363877235"</f>
        <v>36412022010408363877235</v>
      </c>
      <c r="C1143" s="5" t="s">
        <v>25</v>
      </c>
      <c r="D1143" s="5" t="str">
        <f>"符厚岭"</f>
        <v>符厚岭</v>
      </c>
      <c r="E1143" s="5" t="str">
        <f>"男"</f>
        <v>男</v>
      </c>
      <c r="F1143" s="5" t="str">
        <f t="shared" si="123"/>
        <v>汉族</v>
      </c>
    </row>
    <row r="1144" ht="30" customHeight="1" spans="1:6">
      <c r="A1144" s="5">
        <v>1142</v>
      </c>
      <c r="B1144" s="5" t="str">
        <f>"36412022010408413577267"</f>
        <v>36412022010408413577267</v>
      </c>
      <c r="C1144" s="5" t="s">
        <v>25</v>
      </c>
      <c r="D1144" s="5" t="str">
        <f>"庄惠云"</f>
        <v>庄惠云</v>
      </c>
      <c r="E1144" s="5" t="str">
        <f t="shared" ref="E1144:E1150" si="125">"女"</f>
        <v>女</v>
      </c>
      <c r="F1144" s="5" t="str">
        <f t="shared" si="123"/>
        <v>汉族</v>
      </c>
    </row>
    <row r="1145" ht="30" customHeight="1" spans="1:6">
      <c r="A1145" s="5">
        <v>1143</v>
      </c>
      <c r="B1145" s="5" t="str">
        <f>"36412022010408462877295"</f>
        <v>36412022010408462877295</v>
      </c>
      <c r="C1145" s="5" t="s">
        <v>25</v>
      </c>
      <c r="D1145" s="5" t="str">
        <f>"陈善佳"</f>
        <v>陈善佳</v>
      </c>
      <c r="E1145" s="5" t="str">
        <f t="shared" si="125"/>
        <v>女</v>
      </c>
      <c r="F1145" s="5" t="str">
        <f t="shared" si="123"/>
        <v>汉族</v>
      </c>
    </row>
    <row r="1146" ht="30" customHeight="1" spans="1:6">
      <c r="A1146" s="5">
        <v>1144</v>
      </c>
      <c r="B1146" s="5" t="str">
        <f>"36412022010409062477432"</f>
        <v>36412022010409062477432</v>
      </c>
      <c r="C1146" s="5" t="s">
        <v>25</v>
      </c>
      <c r="D1146" s="5" t="str">
        <f>"李丹"</f>
        <v>李丹</v>
      </c>
      <c r="E1146" s="5" t="str">
        <f t="shared" si="125"/>
        <v>女</v>
      </c>
      <c r="F1146" s="5" t="str">
        <f t="shared" si="123"/>
        <v>汉族</v>
      </c>
    </row>
    <row r="1147" ht="30" customHeight="1" spans="1:6">
      <c r="A1147" s="5">
        <v>1145</v>
      </c>
      <c r="B1147" s="5" t="str">
        <f>"36412022010409122177486"</f>
        <v>36412022010409122177486</v>
      </c>
      <c r="C1147" s="5" t="s">
        <v>25</v>
      </c>
      <c r="D1147" s="5" t="str">
        <f>"黄雯佳"</f>
        <v>黄雯佳</v>
      </c>
      <c r="E1147" s="5" t="str">
        <f t="shared" si="125"/>
        <v>女</v>
      </c>
      <c r="F1147" s="5" t="str">
        <f t="shared" si="123"/>
        <v>汉族</v>
      </c>
    </row>
    <row r="1148" ht="30" customHeight="1" spans="1:6">
      <c r="A1148" s="5">
        <v>1146</v>
      </c>
      <c r="B1148" s="5" t="str">
        <f>"36412022010409474477784"</f>
        <v>36412022010409474477784</v>
      </c>
      <c r="C1148" s="5" t="s">
        <v>25</v>
      </c>
      <c r="D1148" s="5" t="str">
        <f>"孙华贵"</f>
        <v>孙华贵</v>
      </c>
      <c r="E1148" s="5" t="str">
        <f t="shared" si="125"/>
        <v>女</v>
      </c>
      <c r="F1148" s="5" t="str">
        <f t="shared" si="123"/>
        <v>汉族</v>
      </c>
    </row>
    <row r="1149" ht="30" customHeight="1" spans="1:6">
      <c r="A1149" s="5">
        <v>1147</v>
      </c>
      <c r="B1149" s="5" t="str">
        <f>"36412022010409585277888"</f>
        <v>36412022010409585277888</v>
      </c>
      <c r="C1149" s="5" t="s">
        <v>25</v>
      </c>
      <c r="D1149" s="5" t="str">
        <f>"吴秀菊"</f>
        <v>吴秀菊</v>
      </c>
      <c r="E1149" s="5" t="str">
        <f t="shared" si="125"/>
        <v>女</v>
      </c>
      <c r="F1149" s="5" t="str">
        <f>"黎族"</f>
        <v>黎族</v>
      </c>
    </row>
    <row r="1150" ht="30" customHeight="1" spans="1:6">
      <c r="A1150" s="5">
        <v>1148</v>
      </c>
      <c r="B1150" s="5" t="str">
        <f>"36412022010410001777901"</f>
        <v>36412022010410001777901</v>
      </c>
      <c r="C1150" s="5" t="s">
        <v>25</v>
      </c>
      <c r="D1150" s="5" t="str">
        <f>"方海连"</f>
        <v>方海连</v>
      </c>
      <c r="E1150" s="5" t="str">
        <f t="shared" si="125"/>
        <v>女</v>
      </c>
      <c r="F1150" s="5" t="str">
        <f t="shared" ref="F1150:F1156" si="126">"汉族"</f>
        <v>汉族</v>
      </c>
    </row>
    <row r="1151" ht="30" customHeight="1" spans="1:6">
      <c r="A1151" s="5">
        <v>1149</v>
      </c>
      <c r="B1151" s="5" t="str">
        <f>"36412022010410003977903"</f>
        <v>36412022010410003977903</v>
      </c>
      <c r="C1151" s="5" t="s">
        <v>25</v>
      </c>
      <c r="D1151" s="5" t="str">
        <f>"吴杰"</f>
        <v>吴杰</v>
      </c>
      <c r="E1151" s="5" t="str">
        <f>"男"</f>
        <v>男</v>
      </c>
      <c r="F1151" s="5" t="str">
        <f t="shared" si="126"/>
        <v>汉族</v>
      </c>
    </row>
    <row r="1152" ht="30" customHeight="1" spans="1:6">
      <c r="A1152" s="5">
        <v>1150</v>
      </c>
      <c r="B1152" s="5" t="str">
        <f>"36412022010410111278017"</f>
        <v>36412022010410111278017</v>
      </c>
      <c r="C1152" s="5" t="s">
        <v>25</v>
      </c>
      <c r="D1152" s="5" t="str">
        <f>"陈碧玉"</f>
        <v>陈碧玉</v>
      </c>
      <c r="E1152" s="5" t="str">
        <f t="shared" ref="E1152:E1163" si="127">"女"</f>
        <v>女</v>
      </c>
      <c r="F1152" s="5" t="str">
        <f t="shared" si="126"/>
        <v>汉族</v>
      </c>
    </row>
    <row r="1153" ht="30" customHeight="1" spans="1:6">
      <c r="A1153" s="5">
        <v>1151</v>
      </c>
      <c r="B1153" s="5" t="str">
        <f>"36412022010410362178231"</f>
        <v>36412022010410362178231</v>
      </c>
      <c r="C1153" s="5" t="s">
        <v>25</v>
      </c>
      <c r="D1153" s="5" t="str">
        <f>"陈惠完"</f>
        <v>陈惠完</v>
      </c>
      <c r="E1153" s="5" t="str">
        <f t="shared" si="127"/>
        <v>女</v>
      </c>
      <c r="F1153" s="5" t="str">
        <f t="shared" si="126"/>
        <v>汉族</v>
      </c>
    </row>
    <row r="1154" ht="30" customHeight="1" spans="1:6">
      <c r="A1154" s="5">
        <v>1152</v>
      </c>
      <c r="B1154" s="5" t="str">
        <f>"36412022010410535978374"</f>
        <v>36412022010410535978374</v>
      </c>
      <c r="C1154" s="5" t="s">
        <v>25</v>
      </c>
      <c r="D1154" s="5" t="str">
        <f>"邵红杏"</f>
        <v>邵红杏</v>
      </c>
      <c r="E1154" s="5" t="str">
        <f t="shared" si="127"/>
        <v>女</v>
      </c>
      <c r="F1154" s="5" t="str">
        <f t="shared" si="126"/>
        <v>汉族</v>
      </c>
    </row>
    <row r="1155" ht="30" customHeight="1" spans="1:6">
      <c r="A1155" s="5">
        <v>1153</v>
      </c>
      <c r="B1155" s="5" t="str">
        <f>"36412022010410544778381"</f>
        <v>36412022010410544778381</v>
      </c>
      <c r="C1155" s="5" t="s">
        <v>25</v>
      </c>
      <c r="D1155" s="5" t="str">
        <f>"曾显花"</f>
        <v>曾显花</v>
      </c>
      <c r="E1155" s="5" t="str">
        <f t="shared" si="127"/>
        <v>女</v>
      </c>
      <c r="F1155" s="5" t="str">
        <f t="shared" si="126"/>
        <v>汉族</v>
      </c>
    </row>
    <row r="1156" ht="30" customHeight="1" spans="1:6">
      <c r="A1156" s="5">
        <v>1154</v>
      </c>
      <c r="B1156" s="5" t="str">
        <f>"36412022010411023378457"</f>
        <v>36412022010411023378457</v>
      </c>
      <c r="C1156" s="5" t="s">
        <v>25</v>
      </c>
      <c r="D1156" s="5" t="str">
        <f>"文坤妍"</f>
        <v>文坤妍</v>
      </c>
      <c r="E1156" s="5" t="str">
        <f t="shared" si="127"/>
        <v>女</v>
      </c>
      <c r="F1156" s="5" t="str">
        <f t="shared" si="126"/>
        <v>汉族</v>
      </c>
    </row>
    <row r="1157" ht="30" customHeight="1" spans="1:6">
      <c r="A1157" s="5">
        <v>1155</v>
      </c>
      <c r="B1157" s="5" t="str">
        <f>"36412022010411033978468"</f>
        <v>36412022010411033978468</v>
      </c>
      <c r="C1157" s="5" t="s">
        <v>25</v>
      </c>
      <c r="D1157" s="5" t="str">
        <f>"符英子"</f>
        <v>符英子</v>
      </c>
      <c r="E1157" s="5" t="str">
        <f t="shared" si="127"/>
        <v>女</v>
      </c>
      <c r="F1157" s="5" t="str">
        <f>"黎族"</f>
        <v>黎族</v>
      </c>
    </row>
    <row r="1158" ht="30" customHeight="1" spans="1:6">
      <c r="A1158" s="5">
        <v>1156</v>
      </c>
      <c r="B1158" s="5" t="str">
        <f>"36412022010411152878573"</f>
        <v>36412022010411152878573</v>
      </c>
      <c r="C1158" s="5" t="s">
        <v>25</v>
      </c>
      <c r="D1158" s="5" t="str">
        <f>"王海玉"</f>
        <v>王海玉</v>
      </c>
      <c r="E1158" s="5" t="str">
        <f t="shared" si="127"/>
        <v>女</v>
      </c>
      <c r="F1158" s="5" t="str">
        <f t="shared" ref="F1158:F1181" si="128">"汉族"</f>
        <v>汉族</v>
      </c>
    </row>
    <row r="1159" ht="30" customHeight="1" spans="1:6">
      <c r="A1159" s="5">
        <v>1157</v>
      </c>
      <c r="B1159" s="5" t="str">
        <f>"36412022010411262678667"</f>
        <v>36412022010411262678667</v>
      </c>
      <c r="C1159" s="5" t="s">
        <v>25</v>
      </c>
      <c r="D1159" s="5" t="str">
        <f>"符香川"</f>
        <v>符香川</v>
      </c>
      <c r="E1159" s="5" t="str">
        <f t="shared" si="127"/>
        <v>女</v>
      </c>
      <c r="F1159" s="5" t="str">
        <f t="shared" si="128"/>
        <v>汉族</v>
      </c>
    </row>
    <row r="1160" ht="30" customHeight="1" spans="1:6">
      <c r="A1160" s="5">
        <v>1158</v>
      </c>
      <c r="B1160" s="5" t="str">
        <f>"36412022010411443378803"</f>
        <v>36412022010411443378803</v>
      </c>
      <c r="C1160" s="5" t="s">
        <v>25</v>
      </c>
      <c r="D1160" s="5" t="str">
        <f>"麦贤曼"</f>
        <v>麦贤曼</v>
      </c>
      <c r="E1160" s="5" t="str">
        <f t="shared" si="127"/>
        <v>女</v>
      </c>
      <c r="F1160" s="5" t="str">
        <f t="shared" si="128"/>
        <v>汉族</v>
      </c>
    </row>
    <row r="1161" ht="30" customHeight="1" spans="1:6">
      <c r="A1161" s="5">
        <v>1159</v>
      </c>
      <c r="B1161" s="5" t="str">
        <f>"36412022010411462278812"</f>
        <v>36412022010411462278812</v>
      </c>
      <c r="C1161" s="5" t="s">
        <v>25</v>
      </c>
      <c r="D1161" s="5" t="str">
        <f>"曾叶梅"</f>
        <v>曾叶梅</v>
      </c>
      <c r="E1161" s="5" t="str">
        <f t="shared" si="127"/>
        <v>女</v>
      </c>
      <c r="F1161" s="5" t="str">
        <f t="shared" si="128"/>
        <v>汉族</v>
      </c>
    </row>
    <row r="1162" ht="30" customHeight="1" spans="1:6">
      <c r="A1162" s="5">
        <v>1160</v>
      </c>
      <c r="B1162" s="5" t="str">
        <f>"36412022010412031078900"</f>
        <v>36412022010412031078900</v>
      </c>
      <c r="C1162" s="5" t="s">
        <v>25</v>
      </c>
      <c r="D1162" s="5" t="str">
        <f>"卢施芬"</f>
        <v>卢施芬</v>
      </c>
      <c r="E1162" s="5" t="str">
        <f t="shared" si="127"/>
        <v>女</v>
      </c>
      <c r="F1162" s="5" t="str">
        <f t="shared" si="128"/>
        <v>汉族</v>
      </c>
    </row>
    <row r="1163" ht="30" customHeight="1" spans="1:6">
      <c r="A1163" s="5">
        <v>1161</v>
      </c>
      <c r="B1163" s="5" t="str">
        <f>"36412022010412115978942"</f>
        <v>36412022010412115978942</v>
      </c>
      <c r="C1163" s="5" t="s">
        <v>25</v>
      </c>
      <c r="D1163" s="5" t="str">
        <f>"杨井花"</f>
        <v>杨井花</v>
      </c>
      <c r="E1163" s="5" t="str">
        <f t="shared" si="127"/>
        <v>女</v>
      </c>
      <c r="F1163" s="5" t="str">
        <f t="shared" si="128"/>
        <v>汉族</v>
      </c>
    </row>
    <row r="1164" ht="30" customHeight="1" spans="1:6">
      <c r="A1164" s="5">
        <v>1162</v>
      </c>
      <c r="B1164" s="5" t="str">
        <f>"36412022010412234978994"</f>
        <v>36412022010412234978994</v>
      </c>
      <c r="C1164" s="5" t="s">
        <v>25</v>
      </c>
      <c r="D1164" s="5" t="str">
        <f>"王德武"</f>
        <v>王德武</v>
      </c>
      <c r="E1164" s="5" t="str">
        <f>"男"</f>
        <v>男</v>
      </c>
      <c r="F1164" s="5" t="str">
        <f t="shared" si="128"/>
        <v>汉族</v>
      </c>
    </row>
    <row r="1165" ht="30" customHeight="1" spans="1:6">
      <c r="A1165" s="5">
        <v>1163</v>
      </c>
      <c r="B1165" s="5" t="str">
        <f>"36412022010412385379062"</f>
        <v>36412022010412385379062</v>
      </c>
      <c r="C1165" s="5" t="s">
        <v>25</v>
      </c>
      <c r="D1165" s="5" t="str">
        <f>"王雅婷"</f>
        <v>王雅婷</v>
      </c>
      <c r="E1165" s="5" t="str">
        <f t="shared" ref="E1165:E1170" si="129">"女"</f>
        <v>女</v>
      </c>
      <c r="F1165" s="5" t="str">
        <f t="shared" si="128"/>
        <v>汉族</v>
      </c>
    </row>
    <row r="1166" ht="30" customHeight="1" spans="1:6">
      <c r="A1166" s="5">
        <v>1164</v>
      </c>
      <c r="B1166" s="5" t="str">
        <f>"36412022010412461079097"</f>
        <v>36412022010412461079097</v>
      </c>
      <c r="C1166" s="5" t="s">
        <v>25</v>
      </c>
      <c r="D1166" s="5" t="str">
        <f>"文彩艳"</f>
        <v>文彩艳</v>
      </c>
      <c r="E1166" s="5" t="str">
        <f t="shared" si="129"/>
        <v>女</v>
      </c>
      <c r="F1166" s="5" t="str">
        <f t="shared" si="128"/>
        <v>汉族</v>
      </c>
    </row>
    <row r="1167" ht="30" customHeight="1" spans="1:6">
      <c r="A1167" s="5">
        <v>1165</v>
      </c>
      <c r="B1167" s="5" t="str">
        <f>"36412022010412580779162"</f>
        <v>36412022010412580779162</v>
      </c>
      <c r="C1167" s="5" t="s">
        <v>25</v>
      </c>
      <c r="D1167" s="5" t="str">
        <f>"符诗琪"</f>
        <v>符诗琪</v>
      </c>
      <c r="E1167" s="5" t="str">
        <f t="shared" si="129"/>
        <v>女</v>
      </c>
      <c r="F1167" s="5" t="str">
        <f t="shared" si="128"/>
        <v>汉族</v>
      </c>
    </row>
    <row r="1168" ht="30" customHeight="1" spans="1:6">
      <c r="A1168" s="5">
        <v>1166</v>
      </c>
      <c r="B1168" s="5" t="str">
        <f>"36412022010413254379287"</f>
        <v>36412022010413254379287</v>
      </c>
      <c r="C1168" s="5" t="s">
        <v>25</v>
      </c>
      <c r="D1168" s="5" t="str">
        <f>"邱艳婷"</f>
        <v>邱艳婷</v>
      </c>
      <c r="E1168" s="5" t="str">
        <f t="shared" si="129"/>
        <v>女</v>
      </c>
      <c r="F1168" s="5" t="str">
        <f t="shared" si="128"/>
        <v>汉族</v>
      </c>
    </row>
    <row r="1169" ht="30" customHeight="1" spans="1:6">
      <c r="A1169" s="5">
        <v>1167</v>
      </c>
      <c r="B1169" s="5" t="str">
        <f>"36412022010414552179657"</f>
        <v>36412022010414552179657</v>
      </c>
      <c r="C1169" s="5" t="s">
        <v>25</v>
      </c>
      <c r="D1169" s="5" t="str">
        <f>"汪春纹"</f>
        <v>汪春纹</v>
      </c>
      <c r="E1169" s="5" t="str">
        <f t="shared" si="129"/>
        <v>女</v>
      </c>
      <c r="F1169" s="5" t="str">
        <f t="shared" si="128"/>
        <v>汉族</v>
      </c>
    </row>
    <row r="1170" ht="30" customHeight="1" spans="1:6">
      <c r="A1170" s="5">
        <v>1168</v>
      </c>
      <c r="B1170" s="5" t="str">
        <f>"36412022010415102679761"</f>
        <v>36412022010415102679761</v>
      </c>
      <c r="C1170" s="5" t="s">
        <v>25</v>
      </c>
      <c r="D1170" s="5" t="str">
        <f>"文艳娟"</f>
        <v>文艳娟</v>
      </c>
      <c r="E1170" s="5" t="str">
        <f t="shared" si="129"/>
        <v>女</v>
      </c>
      <c r="F1170" s="5" t="str">
        <f t="shared" si="128"/>
        <v>汉族</v>
      </c>
    </row>
    <row r="1171" ht="30" customHeight="1" spans="1:6">
      <c r="A1171" s="5">
        <v>1169</v>
      </c>
      <c r="B1171" s="5" t="str">
        <f>"36412022010415190279817"</f>
        <v>36412022010415190279817</v>
      </c>
      <c r="C1171" s="5" t="s">
        <v>25</v>
      </c>
      <c r="D1171" s="5" t="str">
        <f>"王赞杰"</f>
        <v>王赞杰</v>
      </c>
      <c r="E1171" s="5" t="str">
        <f>"男"</f>
        <v>男</v>
      </c>
      <c r="F1171" s="5" t="str">
        <f t="shared" si="128"/>
        <v>汉族</v>
      </c>
    </row>
    <row r="1172" ht="30" customHeight="1" spans="1:6">
      <c r="A1172" s="5">
        <v>1170</v>
      </c>
      <c r="B1172" s="5" t="str">
        <f>"36412022010415242179856"</f>
        <v>36412022010415242179856</v>
      </c>
      <c r="C1172" s="5" t="s">
        <v>25</v>
      </c>
      <c r="D1172" s="5" t="str">
        <f>"陈堂兵"</f>
        <v>陈堂兵</v>
      </c>
      <c r="E1172" s="5" t="str">
        <f>"女"</f>
        <v>女</v>
      </c>
      <c r="F1172" s="5" t="str">
        <f t="shared" si="128"/>
        <v>汉族</v>
      </c>
    </row>
    <row r="1173" ht="30" customHeight="1" spans="1:6">
      <c r="A1173" s="5">
        <v>1171</v>
      </c>
      <c r="B1173" s="5" t="str">
        <f>"36412022010415451279993"</f>
        <v>36412022010415451279993</v>
      </c>
      <c r="C1173" s="5" t="s">
        <v>25</v>
      </c>
      <c r="D1173" s="5" t="str">
        <f>"吴晓婕"</f>
        <v>吴晓婕</v>
      </c>
      <c r="E1173" s="5" t="str">
        <f>"女"</f>
        <v>女</v>
      </c>
      <c r="F1173" s="5" t="str">
        <f t="shared" si="128"/>
        <v>汉族</v>
      </c>
    </row>
    <row r="1174" ht="30" customHeight="1" spans="1:6">
      <c r="A1174" s="5">
        <v>1172</v>
      </c>
      <c r="B1174" s="5" t="str">
        <f>"36412022010415560880071"</f>
        <v>36412022010415560880071</v>
      </c>
      <c r="C1174" s="5" t="s">
        <v>25</v>
      </c>
      <c r="D1174" s="5" t="str">
        <f>"许春玲"</f>
        <v>许春玲</v>
      </c>
      <c r="E1174" s="5" t="str">
        <f>"女"</f>
        <v>女</v>
      </c>
      <c r="F1174" s="5" t="str">
        <f t="shared" si="128"/>
        <v>汉族</v>
      </c>
    </row>
    <row r="1175" ht="30" customHeight="1" spans="1:6">
      <c r="A1175" s="5">
        <v>1173</v>
      </c>
      <c r="B1175" s="5" t="str">
        <f>"36412022010416093880133"</f>
        <v>36412022010416093880133</v>
      </c>
      <c r="C1175" s="5" t="s">
        <v>25</v>
      </c>
      <c r="D1175" s="5" t="str">
        <f>"罗晶"</f>
        <v>罗晶</v>
      </c>
      <c r="E1175" s="5" t="str">
        <f>"女"</f>
        <v>女</v>
      </c>
      <c r="F1175" s="5" t="str">
        <f t="shared" si="128"/>
        <v>汉族</v>
      </c>
    </row>
    <row r="1176" ht="30" customHeight="1" spans="1:6">
      <c r="A1176" s="5">
        <v>1174</v>
      </c>
      <c r="B1176" s="5" t="str">
        <f>"36412022010416145580173"</f>
        <v>36412022010416145580173</v>
      </c>
      <c r="C1176" s="5" t="s">
        <v>25</v>
      </c>
      <c r="D1176" s="5" t="str">
        <f>"黎和翠"</f>
        <v>黎和翠</v>
      </c>
      <c r="E1176" s="5" t="str">
        <f>"女"</f>
        <v>女</v>
      </c>
      <c r="F1176" s="5" t="str">
        <f t="shared" si="128"/>
        <v>汉族</v>
      </c>
    </row>
    <row r="1177" ht="30" customHeight="1" spans="1:6">
      <c r="A1177" s="5">
        <v>1175</v>
      </c>
      <c r="B1177" s="5" t="str">
        <f>"36412022010416175780191"</f>
        <v>36412022010416175780191</v>
      </c>
      <c r="C1177" s="5" t="s">
        <v>25</v>
      </c>
      <c r="D1177" s="5" t="str">
        <f>"周世仕"</f>
        <v>周世仕</v>
      </c>
      <c r="E1177" s="5" t="str">
        <f>"男"</f>
        <v>男</v>
      </c>
      <c r="F1177" s="5" t="str">
        <f t="shared" si="128"/>
        <v>汉族</v>
      </c>
    </row>
    <row r="1178" ht="30" customHeight="1" spans="1:6">
      <c r="A1178" s="5">
        <v>1176</v>
      </c>
      <c r="B1178" s="5" t="str">
        <f>"36412022010416184780200"</f>
        <v>36412022010416184780200</v>
      </c>
      <c r="C1178" s="5" t="s">
        <v>25</v>
      </c>
      <c r="D1178" s="5" t="str">
        <f>"符伟"</f>
        <v>符伟</v>
      </c>
      <c r="E1178" s="5" t="str">
        <f>"男"</f>
        <v>男</v>
      </c>
      <c r="F1178" s="5" t="str">
        <f t="shared" si="128"/>
        <v>汉族</v>
      </c>
    </row>
    <row r="1179" ht="30" customHeight="1" spans="1:6">
      <c r="A1179" s="5">
        <v>1177</v>
      </c>
      <c r="B1179" s="5" t="str">
        <f>"36412022010416192280201"</f>
        <v>36412022010416192280201</v>
      </c>
      <c r="C1179" s="5" t="s">
        <v>25</v>
      </c>
      <c r="D1179" s="5" t="str">
        <f>"洪真荣"</f>
        <v>洪真荣</v>
      </c>
      <c r="E1179" s="5" t="str">
        <f>"女"</f>
        <v>女</v>
      </c>
      <c r="F1179" s="5" t="str">
        <f t="shared" si="128"/>
        <v>汉族</v>
      </c>
    </row>
    <row r="1180" ht="30" customHeight="1" spans="1:6">
      <c r="A1180" s="5">
        <v>1178</v>
      </c>
      <c r="B1180" s="5" t="str">
        <f>"36412022010416493980360"</f>
        <v>36412022010416493980360</v>
      </c>
      <c r="C1180" s="5" t="s">
        <v>25</v>
      </c>
      <c r="D1180" s="5" t="str">
        <f>"曾东玉"</f>
        <v>曾东玉</v>
      </c>
      <c r="E1180" s="5" t="str">
        <f>"女"</f>
        <v>女</v>
      </c>
      <c r="F1180" s="5" t="str">
        <f t="shared" si="128"/>
        <v>汉族</v>
      </c>
    </row>
    <row r="1181" ht="30" customHeight="1" spans="1:6">
      <c r="A1181" s="5">
        <v>1179</v>
      </c>
      <c r="B1181" s="5" t="str">
        <f>"36412022010417113780484"</f>
        <v>36412022010417113780484</v>
      </c>
      <c r="C1181" s="5" t="s">
        <v>25</v>
      </c>
      <c r="D1181" s="5" t="str">
        <f>"曾慧莹"</f>
        <v>曾慧莹</v>
      </c>
      <c r="E1181" s="5" t="str">
        <f>"女"</f>
        <v>女</v>
      </c>
      <c r="F1181" s="5" t="str">
        <f t="shared" si="128"/>
        <v>汉族</v>
      </c>
    </row>
    <row r="1182" ht="30" customHeight="1" spans="1:6">
      <c r="A1182" s="5">
        <v>1180</v>
      </c>
      <c r="B1182" s="5" t="str">
        <f>"36412022010417192780537"</f>
        <v>36412022010417192780537</v>
      </c>
      <c r="C1182" s="5" t="s">
        <v>25</v>
      </c>
      <c r="D1182" s="5" t="str">
        <f>"关义帅"</f>
        <v>关义帅</v>
      </c>
      <c r="E1182" s="5" t="str">
        <f>"男"</f>
        <v>男</v>
      </c>
      <c r="F1182" s="5" t="str">
        <f>"黎族"</f>
        <v>黎族</v>
      </c>
    </row>
    <row r="1183" ht="30" customHeight="1" spans="1:6">
      <c r="A1183" s="5">
        <v>1181</v>
      </c>
      <c r="B1183" s="5" t="str">
        <f>"36412022010417393080634"</f>
        <v>36412022010417393080634</v>
      </c>
      <c r="C1183" s="5" t="s">
        <v>25</v>
      </c>
      <c r="D1183" s="5" t="str">
        <f>"吴壮娜"</f>
        <v>吴壮娜</v>
      </c>
      <c r="E1183" s="5" t="str">
        <f t="shared" ref="E1183:E1190" si="130">"女"</f>
        <v>女</v>
      </c>
      <c r="F1183" s="5" t="str">
        <f t="shared" ref="F1183:F1194" si="131">"汉族"</f>
        <v>汉族</v>
      </c>
    </row>
    <row r="1184" ht="30" customHeight="1" spans="1:6">
      <c r="A1184" s="5">
        <v>1182</v>
      </c>
      <c r="B1184" s="5" t="str">
        <f>"36412022010417502980670"</f>
        <v>36412022010417502980670</v>
      </c>
      <c r="C1184" s="5" t="s">
        <v>25</v>
      </c>
      <c r="D1184" s="5" t="str">
        <f>"符色燕"</f>
        <v>符色燕</v>
      </c>
      <c r="E1184" s="5" t="str">
        <f t="shared" si="130"/>
        <v>女</v>
      </c>
      <c r="F1184" s="5" t="str">
        <f t="shared" si="131"/>
        <v>汉族</v>
      </c>
    </row>
    <row r="1185" ht="30" customHeight="1" spans="1:6">
      <c r="A1185" s="5">
        <v>1183</v>
      </c>
      <c r="B1185" s="5" t="str">
        <f>"36412022010418303680847"</f>
        <v>36412022010418303680847</v>
      </c>
      <c r="C1185" s="5" t="s">
        <v>25</v>
      </c>
      <c r="D1185" s="5" t="str">
        <f>"吴春妮"</f>
        <v>吴春妮</v>
      </c>
      <c r="E1185" s="5" t="str">
        <f t="shared" si="130"/>
        <v>女</v>
      </c>
      <c r="F1185" s="5" t="str">
        <f t="shared" si="131"/>
        <v>汉族</v>
      </c>
    </row>
    <row r="1186" ht="30" customHeight="1" spans="1:6">
      <c r="A1186" s="5">
        <v>1184</v>
      </c>
      <c r="B1186" s="5" t="str">
        <f>"36412022010418514980943"</f>
        <v>36412022010418514980943</v>
      </c>
      <c r="C1186" s="5" t="s">
        <v>25</v>
      </c>
      <c r="D1186" s="5" t="str">
        <f>"羊秀熊"</f>
        <v>羊秀熊</v>
      </c>
      <c r="E1186" s="5" t="str">
        <f t="shared" si="130"/>
        <v>女</v>
      </c>
      <c r="F1186" s="5" t="str">
        <f t="shared" si="131"/>
        <v>汉族</v>
      </c>
    </row>
    <row r="1187" ht="30" customHeight="1" spans="1:6">
      <c r="A1187" s="5">
        <v>1185</v>
      </c>
      <c r="B1187" s="5" t="str">
        <f>"36412022010419034980994"</f>
        <v>36412022010419034980994</v>
      </c>
      <c r="C1187" s="5" t="s">
        <v>25</v>
      </c>
      <c r="D1187" s="5" t="str">
        <f>"李永妃"</f>
        <v>李永妃</v>
      </c>
      <c r="E1187" s="5" t="str">
        <f t="shared" si="130"/>
        <v>女</v>
      </c>
      <c r="F1187" s="5" t="str">
        <f t="shared" si="131"/>
        <v>汉族</v>
      </c>
    </row>
    <row r="1188" ht="30" customHeight="1" spans="1:6">
      <c r="A1188" s="5">
        <v>1186</v>
      </c>
      <c r="B1188" s="5" t="str">
        <f>"36412022010419270881110"</f>
        <v>36412022010419270881110</v>
      </c>
      <c r="C1188" s="5" t="s">
        <v>25</v>
      </c>
      <c r="D1188" s="5" t="str">
        <f>"王丽娟"</f>
        <v>王丽娟</v>
      </c>
      <c r="E1188" s="5" t="str">
        <f t="shared" si="130"/>
        <v>女</v>
      </c>
      <c r="F1188" s="5" t="str">
        <f t="shared" si="131"/>
        <v>汉族</v>
      </c>
    </row>
    <row r="1189" ht="30" customHeight="1" spans="1:6">
      <c r="A1189" s="5">
        <v>1187</v>
      </c>
      <c r="B1189" s="5" t="str">
        <f>"36412022010419312881130"</f>
        <v>36412022010419312881130</v>
      </c>
      <c r="C1189" s="5" t="s">
        <v>25</v>
      </c>
      <c r="D1189" s="5" t="str">
        <f>"吴朝阳"</f>
        <v>吴朝阳</v>
      </c>
      <c r="E1189" s="5" t="str">
        <f t="shared" si="130"/>
        <v>女</v>
      </c>
      <c r="F1189" s="5" t="str">
        <f t="shared" si="131"/>
        <v>汉族</v>
      </c>
    </row>
    <row r="1190" ht="30" customHeight="1" spans="1:6">
      <c r="A1190" s="5">
        <v>1188</v>
      </c>
      <c r="B1190" s="5" t="str">
        <f>"36412022010420530581540"</f>
        <v>36412022010420530581540</v>
      </c>
      <c r="C1190" s="5" t="s">
        <v>25</v>
      </c>
      <c r="D1190" s="5" t="str">
        <f>"符东淼"</f>
        <v>符东淼</v>
      </c>
      <c r="E1190" s="5" t="str">
        <f t="shared" si="130"/>
        <v>女</v>
      </c>
      <c r="F1190" s="5" t="str">
        <f t="shared" si="131"/>
        <v>汉族</v>
      </c>
    </row>
    <row r="1191" ht="30" customHeight="1" spans="1:6">
      <c r="A1191" s="5">
        <v>1189</v>
      </c>
      <c r="B1191" s="5" t="str">
        <f>"36412022010420582981563"</f>
        <v>36412022010420582981563</v>
      </c>
      <c r="C1191" s="5" t="s">
        <v>25</v>
      </c>
      <c r="D1191" s="5" t="str">
        <f>"石翠文"</f>
        <v>石翠文</v>
      </c>
      <c r="E1191" s="5" t="str">
        <f>"男"</f>
        <v>男</v>
      </c>
      <c r="F1191" s="5" t="str">
        <f t="shared" si="131"/>
        <v>汉族</v>
      </c>
    </row>
    <row r="1192" ht="30" customHeight="1" spans="1:6">
      <c r="A1192" s="5">
        <v>1190</v>
      </c>
      <c r="B1192" s="5" t="str">
        <f>"36412022010421031981587"</f>
        <v>36412022010421031981587</v>
      </c>
      <c r="C1192" s="5" t="s">
        <v>25</v>
      </c>
      <c r="D1192" s="5" t="str">
        <f>"黄俊妹"</f>
        <v>黄俊妹</v>
      </c>
      <c r="E1192" s="5" t="str">
        <f>"女"</f>
        <v>女</v>
      </c>
      <c r="F1192" s="5" t="str">
        <f t="shared" si="131"/>
        <v>汉族</v>
      </c>
    </row>
    <row r="1193" ht="30" customHeight="1" spans="1:6">
      <c r="A1193" s="5">
        <v>1191</v>
      </c>
      <c r="B1193" s="5" t="str">
        <f>"36412022010421265081709"</f>
        <v>36412022010421265081709</v>
      </c>
      <c r="C1193" s="5" t="s">
        <v>25</v>
      </c>
      <c r="D1193" s="5" t="str">
        <f>"王如花"</f>
        <v>王如花</v>
      </c>
      <c r="E1193" s="5" t="str">
        <f>"女"</f>
        <v>女</v>
      </c>
      <c r="F1193" s="5" t="str">
        <f t="shared" si="131"/>
        <v>汉族</v>
      </c>
    </row>
    <row r="1194" ht="30" customHeight="1" spans="1:6">
      <c r="A1194" s="5">
        <v>1192</v>
      </c>
      <c r="B1194" s="5" t="str">
        <f>"36412022010421441681776"</f>
        <v>36412022010421441681776</v>
      </c>
      <c r="C1194" s="5" t="s">
        <v>25</v>
      </c>
      <c r="D1194" s="5" t="str">
        <f>"羊茂芳"</f>
        <v>羊茂芳</v>
      </c>
      <c r="E1194" s="5" t="str">
        <f>"男"</f>
        <v>男</v>
      </c>
      <c r="F1194" s="5" t="str">
        <f t="shared" si="131"/>
        <v>汉族</v>
      </c>
    </row>
    <row r="1195" ht="30" customHeight="1" spans="1:6">
      <c r="A1195" s="5">
        <v>1193</v>
      </c>
      <c r="B1195" s="5" t="str">
        <f>"36412022010422095581886"</f>
        <v>36412022010422095581886</v>
      </c>
      <c r="C1195" s="5" t="s">
        <v>25</v>
      </c>
      <c r="D1195" s="5" t="str">
        <f>"王雪琴"</f>
        <v>王雪琴</v>
      </c>
      <c r="E1195" s="5" t="str">
        <f t="shared" ref="E1195:E1200" si="132">"女"</f>
        <v>女</v>
      </c>
      <c r="F1195" s="5" t="str">
        <f>"黎族"</f>
        <v>黎族</v>
      </c>
    </row>
    <row r="1196" ht="30" customHeight="1" spans="1:6">
      <c r="A1196" s="5">
        <v>1194</v>
      </c>
      <c r="B1196" s="5" t="str">
        <f>"36412022010422143181908"</f>
        <v>36412022010422143181908</v>
      </c>
      <c r="C1196" s="5" t="s">
        <v>25</v>
      </c>
      <c r="D1196" s="5" t="str">
        <f>"蒋万应"</f>
        <v>蒋万应</v>
      </c>
      <c r="E1196" s="5" t="str">
        <f t="shared" si="132"/>
        <v>女</v>
      </c>
      <c r="F1196" s="5" t="str">
        <f>"汉族"</f>
        <v>汉族</v>
      </c>
    </row>
    <row r="1197" ht="30" customHeight="1" spans="1:6">
      <c r="A1197" s="5">
        <v>1195</v>
      </c>
      <c r="B1197" s="5" t="str">
        <f>"36412022010423032982072"</f>
        <v>36412022010423032982072</v>
      </c>
      <c r="C1197" s="5" t="s">
        <v>25</v>
      </c>
      <c r="D1197" s="5" t="str">
        <f>"吴燕"</f>
        <v>吴燕</v>
      </c>
      <c r="E1197" s="5" t="str">
        <f t="shared" si="132"/>
        <v>女</v>
      </c>
      <c r="F1197" s="5" t="str">
        <f>"黎族"</f>
        <v>黎族</v>
      </c>
    </row>
    <row r="1198" ht="30" customHeight="1" spans="1:6">
      <c r="A1198" s="5">
        <v>1196</v>
      </c>
      <c r="B1198" s="5" t="str">
        <f>"36412022010423184582118"</f>
        <v>36412022010423184582118</v>
      </c>
      <c r="C1198" s="5" t="s">
        <v>25</v>
      </c>
      <c r="D1198" s="5" t="str">
        <f>"蔡爱芳"</f>
        <v>蔡爱芳</v>
      </c>
      <c r="E1198" s="5" t="str">
        <f t="shared" si="132"/>
        <v>女</v>
      </c>
      <c r="F1198" s="5" t="str">
        <f>"汉族"</f>
        <v>汉族</v>
      </c>
    </row>
    <row r="1199" ht="30" customHeight="1" spans="1:6">
      <c r="A1199" s="5">
        <v>1197</v>
      </c>
      <c r="B1199" s="5" t="str">
        <f>"36412022010423352182163"</f>
        <v>36412022010423352182163</v>
      </c>
      <c r="C1199" s="5" t="s">
        <v>25</v>
      </c>
      <c r="D1199" s="5" t="str">
        <f>"林渊红"</f>
        <v>林渊红</v>
      </c>
      <c r="E1199" s="5" t="str">
        <f t="shared" si="132"/>
        <v>女</v>
      </c>
      <c r="F1199" s="5" t="str">
        <f>"汉族"</f>
        <v>汉族</v>
      </c>
    </row>
    <row r="1200" ht="30" customHeight="1" spans="1:6">
      <c r="A1200" s="5">
        <v>1198</v>
      </c>
      <c r="B1200" s="5" t="str">
        <f>"36412022010423575482219"</f>
        <v>36412022010423575482219</v>
      </c>
      <c r="C1200" s="5" t="s">
        <v>25</v>
      </c>
      <c r="D1200" s="5" t="str">
        <f>"何冰枝"</f>
        <v>何冰枝</v>
      </c>
      <c r="E1200" s="5" t="str">
        <f t="shared" si="132"/>
        <v>女</v>
      </c>
      <c r="F1200" s="5" t="str">
        <f>"汉族"</f>
        <v>汉族</v>
      </c>
    </row>
    <row r="1201" ht="30" customHeight="1" spans="1:6">
      <c r="A1201" s="5">
        <v>1199</v>
      </c>
      <c r="B1201" s="5" t="str">
        <f>"36412022010507572482358"</f>
        <v>36412022010507572482358</v>
      </c>
      <c r="C1201" s="5" t="s">
        <v>25</v>
      </c>
      <c r="D1201" s="5" t="str">
        <f>"陈觉"</f>
        <v>陈觉</v>
      </c>
      <c r="E1201" s="5" t="str">
        <f>"男"</f>
        <v>男</v>
      </c>
      <c r="F1201" s="5" t="str">
        <f>"黎族"</f>
        <v>黎族</v>
      </c>
    </row>
    <row r="1202" ht="30" customHeight="1" spans="1:6">
      <c r="A1202" s="5">
        <v>1200</v>
      </c>
      <c r="B1202" s="5" t="str">
        <f>"36412022010508190882391"</f>
        <v>36412022010508190882391</v>
      </c>
      <c r="C1202" s="5" t="s">
        <v>25</v>
      </c>
      <c r="D1202" s="5" t="str">
        <f>"李华宁"</f>
        <v>李华宁</v>
      </c>
      <c r="E1202" s="5" t="str">
        <f t="shared" ref="E1202:E1230" si="133">"女"</f>
        <v>女</v>
      </c>
      <c r="F1202" s="5" t="str">
        <f t="shared" ref="F1202:F1216" si="134">"汉族"</f>
        <v>汉族</v>
      </c>
    </row>
    <row r="1203" ht="30" customHeight="1" spans="1:6">
      <c r="A1203" s="5">
        <v>1201</v>
      </c>
      <c r="B1203" s="5" t="str">
        <f>"36412022010508284582410"</f>
        <v>36412022010508284582410</v>
      </c>
      <c r="C1203" s="5" t="s">
        <v>25</v>
      </c>
      <c r="D1203" s="5" t="str">
        <f>"陈金惠"</f>
        <v>陈金惠</v>
      </c>
      <c r="E1203" s="5" t="str">
        <f t="shared" si="133"/>
        <v>女</v>
      </c>
      <c r="F1203" s="5" t="str">
        <f t="shared" si="134"/>
        <v>汉族</v>
      </c>
    </row>
    <row r="1204" ht="30" customHeight="1" spans="1:6">
      <c r="A1204" s="5">
        <v>1202</v>
      </c>
      <c r="B1204" s="5" t="str">
        <f>"36412022010508360082423"</f>
        <v>36412022010508360082423</v>
      </c>
      <c r="C1204" s="5" t="s">
        <v>25</v>
      </c>
      <c r="D1204" s="5" t="str">
        <f>"唐青霞"</f>
        <v>唐青霞</v>
      </c>
      <c r="E1204" s="5" t="str">
        <f t="shared" si="133"/>
        <v>女</v>
      </c>
      <c r="F1204" s="5" t="str">
        <f t="shared" si="134"/>
        <v>汉族</v>
      </c>
    </row>
    <row r="1205" ht="30" customHeight="1" spans="1:6">
      <c r="A1205" s="5">
        <v>1203</v>
      </c>
      <c r="B1205" s="5" t="str">
        <f>"36412022010508425182443"</f>
        <v>36412022010508425182443</v>
      </c>
      <c r="C1205" s="5" t="s">
        <v>25</v>
      </c>
      <c r="D1205" s="5" t="str">
        <f>"施紫丹"</f>
        <v>施紫丹</v>
      </c>
      <c r="E1205" s="5" t="str">
        <f t="shared" si="133"/>
        <v>女</v>
      </c>
      <c r="F1205" s="5" t="str">
        <f t="shared" si="134"/>
        <v>汉族</v>
      </c>
    </row>
    <row r="1206" ht="30" customHeight="1" spans="1:6">
      <c r="A1206" s="5">
        <v>1204</v>
      </c>
      <c r="B1206" s="5" t="str">
        <f>"36412022010508425282444"</f>
        <v>36412022010508425282444</v>
      </c>
      <c r="C1206" s="5" t="s">
        <v>25</v>
      </c>
      <c r="D1206" s="5" t="str">
        <f>"邹宇春"</f>
        <v>邹宇春</v>
      </c>
      <c r="E1206" s="5" t="str">
        <f t="shared" si="133"/>
        <v>女</v>
      </c>
      <c r="F1206" s="5" t="str">
        <f t="shared" si="134"/>
        <v>汉族</v>
      </c>
    </row>
    <row r="1207" ht="30" customHeight="1" spans="1:6">
      <c r="A1207" s="5">
        <v>1205</v>
      </c>
      <c r="B1207" s="5" t="str">
        <f>"36412022010508452282452"</f>
        <v>36412022010508452282452</v>
      </c>
      <c r="C1207" s="5" t="s">
        <v>25</v>
      </c>
      <c r="D1207" s="5" t="str">
        <f>"梁晓晨"</f>
        <v>梁晓晨</v>
      </c>
      <c r="E1207" s="5" t="str">
        <f t="shared" si="133"/>
        <v>女</v>
      </c>
      <c r="F1207" s="5" t="str">
        <f t="shared" si="134"/>
        <v>汉族</v>
      </c>
    </row>
    <row r="1208" ht="30" customHeight="1" spans="1:6">
      <c r="A1208" s="5">
        <v>1206</v>
      </c>
      <c r="B1208" s="5" t="str">
        <f>"36412022010509012882510"</f>
        <v>36412022010509012882510</v>
      </c>
      <c r="C1208" s="5" t="s">
        <v>25</v>
      </c>
      <c r="D1208" s="5" t="str">
        <f>"王方浪"</f>
        <v>王方浪</v>
      </c>
      <c r="E1208" s="5" t="str">
        <f t="shared" si="133"/>
        <v>女</v>
      </c>
      <c r="F1208" s="5" t="str">
        <f t="shared" si="134"/>
        <v>汉族</v>
      </c>
    </row>
    <row r="1209" ht="30" customHeight="1" spans="1:6">
      <c r="A1209" s="5">
        <v>1207</v>
      </c>
      <c r="B1209" s="5" t="str">
        <f>"36412022010509062282538"</f>
        <v>36412022010509062282538</v>
      </c>
      <c r="C1209" s="5" t="s">
        <v>25</v>
      </c>
      <c r="D1209" s="5" t="str">
        <f>"王南"</f>
        <v>王南</v>
      </c>
      <c r="E1209" s="5" t="str">
        <f t="shared" si="133"/>
        <v>女</v>
      </c>
      <c r="F1209" s="5" t="str">
        <f t="shared" si="134"/>
        <v>汉族</v>
      </c>
    </row>
    <row r="1210" ht="30" customHeight="1" spans="1:6">
      <c r="A1210" s="5">
        <v>1208</v>
      </c>
      <c r="B1210" s="5" t="str">
        <f>"36412022010509525882799"</f>
        <v>36412022010509525882799</v>
      </c>
      <c r="C1210" s="5" t="s">
        <v>25</v>
      </c>
      <c r="D1210" s="5" t="str">
        <f>"张春"</f>
        <v>张春</v>
      </c>
      <c r="E1210" s="5" t="str">
        <f t="shared" si="133"/>
        <v>女</v>
      </c>
      <c r="F1210" s="5" t="str">
        <f t="shared" si="134"/>
        <v>汉族</v>
      </c>
    </row>
    <row r="1211" ht="30" customHeight="1" spans="1:6">
      <c r="A1211" s="5">
        <v>1209</v>
      </c>
      <c r="B1211" s="5" t="str">
        <f>"36412022010509535482806"</f>
        <v>36412022010509535482806</v>
      </c>
      <c r="C1211" s="5" t="s">
        <v>25</v>
      </c>
      <c r="D1211" s="5" t="str">
        <f>"倪德霞"</f>
        <v>倪德霞</v>
      </c>
      <c r="E1211" s="5" t="str">
        <f t="shared" si="133"/>
        <v>女</v>
      </c>
      <c r="F1211" s="5" t="str">
        <f t="shared" si="134"/>
        <v>汉族</v>
      </c>
    </row>
    <row r="1212" ht="30" customHeight="1" spans="1:6">
      <c r="A1212" s="5">
        <v>1210</v>
      </c>
      <c r="B1212" s="5" t="str">
        <f>"36412022010510110782917"</f>
        <v>36412022010510110782917</v>
      </c>
      <c r="C1212" s="5" t="s">
        <v>25</v>
      </c>
      <c r="D1212" s="5" t="str">
        <f>"陈宏莲"</f>
        <v>陈宏莲</v>
      </c>
      <c r="E1212" s="5" t="str">
        <f t="shared" si="133"/>
        <v>女</v>
      </c>
      <c r="F1212" s="5" t="str">
        <f t="shared" si="134"/>
        <v>汉族</v>
      </c>
    </row>
    <row r="1213" ht="30" customHeight="1" spans="1:6">
      <c r="A1213" s="5">
        <v>1211</v>
      </c>
      <c r="B1213" s="5" t="str">
        <f>"36412022010510264983021"</f>
        <v>36412022010510264983021</v>
      </c>
      <c r="C1213" s="5" t="s">
        <v>25</v>
      </c>
      <c r="D1213" s="5" t="str">
        <f>"符光怀"</f>
        <v>符光怀</v>
      </c>
      <c r="E1213" s="5" t="str">
        <f t="shared" si="133"/>
        <v>女</v>
      </c>
      <c r="F1213" s="5" t="str">
        <f t="shared" si="134"/>
        <v>汉族</v>
      </c>
    </row>
    <row r="1214" ht="30" customHeight="1" spans="1:6">
      <c r="A1214" s="5">
        <v>1212</v>
      </c>
      <c r="B1214" s="5" t="str">
        <f>"36412022010510485183183"</f>
        <v>36412022010510485183183</v>
      </c>
      <c r="C1214" s="5" t="s">
        <v>25</v>
      </c>
      <c r="D1214" s="5" t="str">
        <f>"符美萍"</f>
        <v>符美萍</v>
      </c>
      <c r="E1214" s="5" t="str">
        <f t="shared" si="133"/>
        <v>女</v>
      </c>
      <c r="F1214" s="5" t="str">
        <f t="shared" si="134"/>
        <v>汉族</v>
      </c>
    </row>
    <row r="1215" ht="30" customHeight="1" spans="1:6">
      <c r="A1215" s="5">
        <v>1213</v>
      </c>
      <c r="B1215" s="5" t="str">
        <f>"36412022010511251383430"</f>
        <v>36412022010511251383430</v>
      </c>
      <c r="C1215" s="5" t="s">
        <v>25</v>
      </c>
      <c r="D1215" s="5" t="str">
        <f>"吴艳萍"</f>
        <v>吴艳萍</v>
      </c>
      <c r="E1215" s="5" t="str">
        <f t="shared" si="133"/>
        <v>女</v>
      </c>
      <c r="F1215" s="5" t="str">
        <f t="shared" si="134"/>
        <v>汉族</v>
      </c>
    </row>
    <row r="1216" ht="30" customHeight="1" spans="1:6">
      <c r="A1216" s="5">
        <v>1214</v>
      </c>
      <c r="B1216" s="5" t="str">
        <f>"36412022010511433883535"</f>
        <v>36412022010511433883535</v>
      </c>
      <c r="C1216" s="5" t="s">
        <v>25</v>
      </c>
      <c r="D1216" s="5" t="str">
        <f>"曾广清"</f>
        <v>曾广清</v>
      </c>
      <c r="E1216" s="5" t="str">
        <f t="shared" si="133"/>
        <v>女</v>
      </c>
      <c r="F1216" s="5" t="str">
        <f t="shared" si="134"/>
        <v>汉族</v>
      </c>
    </row>
    <row r="1217" ht="30" customHeight="1" spans="1:6">
      <c r="A1217" s="5">
        <v>1215</v>
      </c>
      <c r="B1217" s="5" t="str">
        <f>"36412022010511515983586"</f>
        <v>36412022010511515983586</v>
      </c>
      <c r="C1217" s="5" t="s">
        <v>25</v>
      </c>
      <c r="D1217" s="5" t="str">
        <f>"王佳佳"</f>
        <v>王佳佳</v>
      </c>
      <c r="E1217" s="5" t="str">
        <f t="shared" si="133"/>
        <v>女</v>
      </c>
      <c r="F1217" s="5" t="str">
        <f>"黎族"</f>
        <v>黎族</v>
      </c>
    </row>
    <row r="1218" ht="30" customHeight="1" spans="1:6">
      <c r="A1218" s="5">
        <v>1216</v>
      </c>
      <c r="B1218" s="5" t="str">
        <f>"36412022010512094583656"</f>
        <v>36412022010512094583656</v>
      </c>
      <c r="C1218" s="5" t="s">
        <v>25</v>
      </c>
      <c r="D1218" s="5" t="str">
        <f>"苏茉玲"</f>
        <v>苏茉玲</v>
      </c>
      <c r="E1218" s="5" t="str">
        <f t="shared" si="133"/>
        <v>女</v>
      </c>
      <c r="F1218" s="5" t="str">
        <f t="shared" ref="F1218:F1257" si="135">"汉族"</f>
        <v>汉族</v>
      </c>
    </row>
    <row r="1219" ht="30" customHeight="1" spans="1:6">
      <c r="A1219" s="5">
        <v>1217</v>
      </c>
      <c r="B1219" s="5" t="str">
        <f>"36412022010512155383676"</f>
        <v>36412022010512155383676</v>
      </c>
      <c r="C1219" s="5" t="s">
        <v>25</v>
      </c>
      <c r="D1219" s="5" t="str">
        <f>"黄秋梦"</f>
        <v>黄秋梦</v>
      </c>
      <c r="E1219" s="5" t="str">
        <f t="shared" si="133"/>
        <v>女</v>
      </c>
      <c r="F1219" s="5" t="str">
        <f t="shared" si="135"/>
        <v>汉族</v>
      </c>
    </row>
    <row r="1220" ht="30" customHeight="1" spans="1:6">
      <c r="A1220" s="5">
        <v>1218</v>
      </c>
      <c r="B1220" s="5" t="str">
        <f>"36412022010512225283705"</f>
        <v>36412022010512225283705</v>
      </c>
      <c r="C1220" s="5" t="s">
        <v>25</v>
      </c>
      <c r="D1220" s="5" t="str">
        <f>"王静"</f>
        <v>王静</v>
      </c>
      <c r="E1220" s="5" t="str">
        <f t="shared" si="133"/>
        <v>女</v>
      </c>
      <c r="F1220" s="5" t="str">
        <f t="shared" si="135"/>
        <v>汉族</v>
      </c>
    </row>
    <row r="1221" ht="30" customHeight="1" spans="1:6">
      <c r="A1221" s="5">
        <v>1219</v>
      </c>
      <c r="B1221" s="5" t="str">
        <f>"36412022010512244583715"</f>
        <v>36412022010512244583715</v>
      </c>
      <c r="C1221" s="5" t="s">
        <v>25</v>
      </c>
      <c r="D1221" s="5" t="str">
        <f>"王晗彤"</f>
        <v>王晗彤</v>
      </c>
      <c r="E1221" s="5" t="str">
        <f t="shared" si="133"/>
        <v>女</v>
      </c>
      <c r="F1221" s="5" t="str">
        <f t="shared" si="135"/>
        <v>汉族</v>
      </c>
    </row>
    <row r="1222" ht="30" customHeight="1" spans="1:6">
      <c r="A1222" s="5">
        <v>1220</v>
      </c>
      <c r="B1222" s="5" t="str">
        <f>"36412022010512474283832"</f>
        <v>36412022010512474283832</v>
      </c>
      <c r="C1222" s="5" t="s">
        <v>25</v>
      </c>
      <c r="D1222" s="5" t="str">
        <f>"金秋子"</f>
        <v>金秋子</v>
      </c>
      <c r="E1222" s="5" t="str">
        <f t="shared" si="133"/>
        <v>女</v>
      </c>
      <c r="F1222" s="5" t="str">
        <f t="shared" si="135"/>
        <v>汉族</v>
      </c>
    </row>
    <row r="1223" ht="30" customHeight="1" spans="1:6">
      <c r="A1223" s="5">
        <v>1221</v>
      </c>
      <c r="B1223" s="5" t="str">
        <f>"36412022010512581883881"</f>
        <v>36412022010512581883881</v>
      </c>
      <c r="C1223" s="5" t="s">
        <v>25</v>
      </c>
      <c r="D1223" s="5" t="str">
        <f>"丁珊珊"</f>
        <v>丁珊珊</v>
      </c>
      <c r="E1223" s="5" t="str">
        <f t="shared" si="133"/>
        <v>女</v>
      </c>
      <c r="F1223" s="5" t="str">
        <f t="shared" si="135"/>
        <v>汉族</v>
      </c>
    </row>
    <row r="1224" ht="30" customHeight="1" spans="1:6">
      <c r="A1224" s="5">
        <v>1222</v>
      </c>
      <c r="B1224" s="5" t="str">
        <f>"36412022010513213983993"</f>
        <v>36412022010513213983993</v>
      </c>
      <c r="C1224" s="5" t="s">
        <v>25</v>
      </c>
      <c r="D1224" s="5" t="str">
        <f>"何小花"</f>
        <v>何小花</v>
      </c>
      <c r="E1224" s="5" t="str">
        <f t="shared" si="133"/>
        <v>女</v>
      </c>
      <c r="F1224" s="5" t="str">
        <f t="shared" si="135"/>
        <v>汉族</v>
      </c>
    </row>
    <row r="1225" ht="30" customHeight="1" spans="1:6">
      <c r="A1225" s="5">
        <v>1223</v>
      </c>
      <c r="B1225" s="5" t="str">
        <f>"36412022010513485484102"</f>
        <v>36412022010513485484102</v>
      </c>
      <c r="C1225" s="5" t="s">
        <v>25</v>
      </c>
      <c r="D1225" s="5" t="str">
        <f>"蔡彩金"</f>
        <v>蔡彩金</v>
      </c>
      <c r="E1225" s="5" t="str">
        <f t="shared" si="133"/>
        <v>女</v>
      </c>
      <c r="F1225" s="5" t="str">
        <f t="shared" si="135"/>
        <v>汉族</v>
      </c>
    </row>
    <row r="1226" ht="30" customHeight="1" spans="1:6">
      <c r="A1226" s="5">
        <v>1224</v>
      </c>
      <c r="B1226" s="5" t="str">
        <f>"36412022010514091384189"</f>
        <v>36412022010514091384189</v>
      </c>
      <c r="C1226" s="5" t="s">
        <v>25</v>
      </c>
      <c r="D1226" s="5" t="str">
        <f>"张燕美"</f>
        <v>张燕美</v>
      </c>
      <c r="E1226" s="5" t="str">
        <f t="shared" si="133"/>
        <v>女</v>
      </c>
      <c r="F1226" s="5" t="str">
        <f t="shared" si="135"/>
        <v>汉族</v>
      </c>
    </row>
    <row r="1227" ht="30" customHeight="1" spans="1:6">
      <c r="A1227" s="5">
        <v>1225</v>
      </c>
      <c r="B1227" s="5" t="str">
        <f>"36412022010514501984377"</f>
        <v>36412022010514501984377</v>
      </c>
      <c r="C1227" s="5" t="s">
        <v>25</v>
      </c>
      <c r="D1227" s="5" t="str">
        <f>"吴婕灵"</f>
        <v>吴婕灵</v>
      </c>
      <c r="E1227" s="5" t="str">
        <f t="shared" si="133"/>
        <v>女</v>
      </c>
      <c r="F1227" s="5" t="str">
        <f t="shared" si="135"/>
        <v>汉族</v>
      </c>
    </row>
    <row r="1228" ht="30" customHeight="1" spans="1:6">
      <c r="A1228" s="5">
        <v>1226</v>
      </c>
      <c r="B1228" s="5" t="str">
        <f>"36412022010514573084421"</f>
        <v>36412022010514573084421</v>
      </c>
      <c r="C1228" s="5" t="s">
        <v>25</v>
      </c>
      <c r="D1228" s="5" t="str">
        <f>"韩诚诚"</f>
        <v>韩诚诚</v>
      </c>
      <c r="E1228" s="5" t="str">
        <f t="shared" si="133"/>
        <v>女</v>
      </c>
      <c r="F1228" s="5" t="str">
        <f t="shared" si="135"/>
        <v>汉族</v>
      </c>
    </row>
    <row r="1229" ht="30" customHeight="1" spans="1:6">
      <c r="A1229" s="5">
        <v>1227</v>
      </c>
      <c r="B1229" s="5" t="str">
        <f>"36412022010515033384444"</f>
        <v>36412022010515033384444</v>
      </c>
      <c r="C1229" s="5" t="s">
        <v>25</v>
      </c>
      <c r="D1229" s="5" t="str">
        <f>"黄吉秋"</f>
        <v>黄吉秋</v>
      </c>
      <c r="E1229" s="5" t="str">
        <f t="shared" si="133"/>
        <v>女</v>
      </c>
      <c r="F1229" s="5" t="str">
        <f t="shared" si="135"/>
        <v>汉族</v>
      </c>
    </row>
    <row r="1230" ht="30" customHeight="1" spans="1:6">
      <c r="A1230" s="5">
        <v>1228</v>
      </c>
      <c r="B1230" s="5" t="str">
        <f>"36412022010515504284746"</f>
        <v>36412022010515504284746</v>
      </c>
      <c r="C1230" s="5" t="s">
        <v>25</v>
      </c>
      <c r="D1230" s="5" t="str">
        <f>"黎玉娘"</f>
        <v>黎玉娘</v>
      </c>
      <c r="E1230" s="5" t="str">
        <f t="shared" si="133"/>
        <v>女</v>
      </c>
      <c r="F1230" s="5" t="str">
        <f t="shared" si="135"/>
        <v>汉族</v>
      </c>
    </row>
    <row r="1231" ht="30" customHeight="1" spans="1:6">
      <c r="A1231" s="5">
        <v>1229</v>
      </c>
      <c r="B1231" s="5" t="str">
        <f>"36412022010515573084783"</f>
        <v>36412022010515573084783</v>
      </c>
      <c r="C1231" s="5" t="s">
        <v>25</v>
      </c>
      <c r="D1231" s="5" t="str">
        <f>"黄克超"</f>
        <v>黄克超</v>
      </c>
      <c r="E1231" s="5" t="str">
        <f>"男"</f>
        <v>男</v>
      </c>
      <c r="F1231" s="5" t="str">
        <f t="shared" si="135"/>
        <v>汉族</v>
      </c>
    </row>
    <row r="1232" ht="30" customHeight="1" spans="1:6">
      <c r="A1232" s="5">
        <v>1230</v>
      </c>
      <c r="B1232" s="5" t="str">
        <f>"36412022010516155284866"</f>
        <v>36412022010516155284866</v>
      </c>
      <c r="C1232" s="5" t="s">
        <v>25</v>
      </c>
      <c r="D1232" s="5" t="str">
        <f>"苏英芳"</f>
        <v>苏英芳</v>
      </c>
      <c r="E1232" s="5" t="str">
        <f t="shared" ref="E1232:E1240" si="136">"女"</f>
        <v>女</v>
      </c>
      <c r="F1232" s="5" t="str">
        <f t="shared" si="135"/>
        <v>汉族</v>
      </c>
    </row>
    <row r="1233" ht="30" customHeight="1" spans="1:6">
      <c r="A1233" s="5">
        <v>1231</v>
      </c>
      <c r="B1233" s="5" t="str">
        <f>"36412022010516505385049"</f>
        <v>36412022010516505385049</v>
      </c>
      <c r="C1233" s="5" t="s">
        <v>25</v>
      </c>
      <c r="D1233" s="5" t="str">
        <f>"唐寿葡"</f>
        <v>唐寿葡</v>
      </c>
      <c r="E1233" s="5" t="str">
        <f t="shared" si="136"/>
        <v>女</v>
      </c>
      <c r="F1233" s="5" t="str">
        <f t="shared" si="135"/>
        <v>汉族</v>
      </c>
    </row>
    <row r="1234" ht="30" customHeight="1" spans="1:6">
      <c r="A1234" s="5">
        <v>1232</v>
      </c>
      <c r="B1234" s="5" t="str">
        <f>"36412022010517275685228"</f>
        <v>36412022010517275685228</v>
      </c>
      <c r="C1234" s="5" t="s">
        <v>25</v>
      </c>
      <c r="D1234" s="5" t="str">
        <f>"莫位萍"</f>
        <v>莫位萍</v>
      </c>
      <c r="E1234" s="5" t="str">
        <f t="shared" si="136"/>
        <v>女</v>
      </c>
      <c r="F1234" s="5" t="str">
        <f t="shared" si="135"/>
        <v>汉族</v>
      </c>
    </row>
    <row r="1235" ht="30" customHeight="1" spans="1:6">
      <c r="A1235" s="5">
        <v>1233</v>
      </c>
      <c r="B1235" s="5" t="str">
        <f>"36412022010517464085300"</f>
        <v>36412022010517464085300</v>
      </c>
      <c r="C1235" s="5" t="s">
        <v>25</v>
      </c>
      <c r="D1235" s="5" t="str">
        <f>"吴带竹"</f>
        <v>吴带竹</v>
      </c>
      <c r="E1235" s="5" t="str">
        <f t="shared" si="136"/>
        <v>女</v>
      </c>
      <c r="F1235" s="5" t="str">
        <f t="shared" si="135"/>
        <v>汉族</v>
      </c>
    </row>
    <row r="1236" ht="30" customHeight="1" spans="1:6">
      <c r="A1236" s="5">
        <v>1234</v>
      </c>
      <c r="B1236" s="5" t="str">
        <f>"36412022010517492785315"</f>
        <v>36412022010517492785315</v>
      </c>
      <c r="C1236" s="5" t="s">
        <v>25</v>
      </c>
      <c r="D1236" s="5" t="str">
        <f>"彭秋云"</f>
        <v>彭秋云</v>
      </c>
      <c r="E1236" s="5" t="str">
        <f t="shared" si="136"/>
        <v>女</v>
      </c>
      <c r="F1236" s="5" t="str">
        <f t="shared" si="135"/>
        <v>汉族</v>
      </c>
    </row>
    <row r="1237" ht="30" customHeight="1" spans="1:6">
      <c r="A1237" s="5">
        <v>1235</v>
      </c>
      <c r="B1237" s="5" t="str">
        <f>"36412022010517500085319"</f>
        <v>36412022010517500085319</v>
      </c>
      <c r="C1237" s="5" t="s">
        <v>25</v>
      </c>
      <c r="D1237" s="5" t="str">
        <f>"陈秋可"</f>
        <v>陈秋可</v>
      </c>
      <c r="E1237" s="5" t="str">
        <f t="shared" si="136"/>
        <v>女</v>
      </c>
      <c r="F1237" s="5" t="str">
        <f t="shared" si="135"/>
        <v>汉族</v>
      </c>
    </row>
    <row r="1238" ht="30" customHeight="1" spans="1:6">
      <c r="A1238" s="5">
        <v>1236</v>
      </c>
      <c r="B1238" s="5" t="str">
        <f>"36412022010517545585335"</f>
        <v>36412022010517545585335</v>
      </c>
      <c r="C1238" s="5" t="s">
        <v>25</v>
      </c>
      <c r="D1238" s="5" t="str">
        <f>"薛振婉"</f>
        <v>薛振婉</v>
      </c>
      <c r="E1238" s="5" t="str">
        <f t="shared" si="136"/>
        <v>女</v>
      </c>
      <c r="F1238" s="5" t="str">
        <f t="shared" si="135"/>
        <v>汉族</v>
      </c>
    </row>
    <row r="1239" ht="30" customHeight="1" spans="1:6">
      <c r="A1239" s="5">
        <v>1237</v>
      </c>
      <c r="B1239" s="5" t="str">
        <f>"36412022010518091185384"</f>
        <v>36412022010518091185384</v>
      </c>
      <c r="C1239" s="5" t="s">
        <v>25</v>
      </c>
      <c r="D1239" s="5" t="str">
        <f>"李妤"</f>
        <v>李妤</v>
      </c>
      <c r="E1239" s="5" t="str">
        <f t="shared" si="136"/>
        <v>女</v>
      </c>
      <c r="F1239" s="5" t="str">
        <f t="shared" si="135"/>
        <v>汉族</v>
      </c>
    </row>
    <row r="1240" ht="30" customHeight="1" spans="1:6">
      <c r="A1240" s="5">
        <v>1238</v>
      </c>
      <c r="B1240" s="5" t="str">
        <f>"36412022010518471985519"</f>
        <v>36412022010518471985519</v>
      </c>
      <c r="C1240" s="5" t="s">
        <v>25</v>
      </c>
      <c r="D1240" s="5" t="str">
        <f>"郑金华"</f>
        <v>郑金华</v>
      </c>
      <c r="E1240" s="5" t="str">
        <f t="shared" si="136"/>
        <v>女</v>
      </c>
      <c r="F1240" s="5" t="str">
        <f t="shared" si="135"/>
        <v>汉族</v>
      </c>
    </row>
    <row r="1241" ht="30" customHeight="1" spans="1:6">
      <c r="A1241" s="5">
        <v>1239</v>
      </c>
      <c r="B1241" s="5" t="str">
        <f>"36412022010519130485600"</f>
        <v>36412022010519130485600</v>
      </c>
      <c r="C1241" s="5" t="s">
        <v>25</v>
      </c>
      <c r="D1241" s="5" t="str">
        <f>"周忠喜"</f>
        <v>周忠喜</v>
      </c>
      <c r="E1241" s="5" t="str">
        <f>"男"</f>
        <v>男</v>
      </c>
      <c r="F1241" s="5" t="str">
        <f t="shared" si="135"/>
        <v>汉族</v>
      </c>
    </row>
    <row r="1242" ht="30" customHeight="1" spans="1:6">
      <c r="A1242" s="5">
        <v>1240</v>
      </c>
      <c r="B1242" s="5" t="str">
        <f>"36412022010519163385614"</f>
        <v>36412022010519163385614</v>
      </c>
      <c r="C1242" s="5" t="s">
        <v>25</v>
      </c>
      <c r="D1242" s="5" t="str">
        <f>"黎贤英"</f>
        <v>黎贤英</v>
      </c>
      <c r="E1242" s="5" t="str">
        <f>"女"</f>
        <v>女</v>
      </c>
      <c r="F1242" s="5" t="str">
        <f t="shared" si="135"/>
        <v>汉族</v>
      </c>
    </row>
    <row r="1243" ht="30" customHeight="1" spans="1:6">
      <c r="A1243" s="5">
        <v>1241</v>
      </c>
      <c r="B1243" s="5" t="str">
        <f>"36412022010519432185721"</f>
        <v>36412022010519432185721</v>
      </c>
      <c r="C1243" s="5" t="s">
        <v>25</v>
      </c>
      <c r="D1243" s="5" t="str">
        <f>"林鸿源"</f>
        <v>林鸿源</v>
      </c>
      <c r="E1243" s="5" t="str">
        <f>"女"</f>
        <v>女</v>
      </c>
      <c r="F1243" s="5" t="str">
        <f t="shared" si="135"/>
        <v>汉族</v>
      </c>
    </row>
    <row r="1244" ht="30" customHeight="1" spans="1:6">
      <c r="A1244" s="5">
        <v>1242</v>
      </c>
      <c r="B1244" s="5" t="str">
        <f>"36412022010519475385743"</f>
        <v>36412022010519475385743</v>
      </c>
      <c r="C1244" s="5" t="s">
        <v>25</v>
      </c>
      <c r="D1244" s="5" t="str">
        <f>"蒋乾泽"</f>
        <v>蒋乾泽</v>
      </c>
      <c r="E1244" s="5" t="str">
        <f>"男"</f>
        <v>男</v>
      </c>
      <c r="F1244" s="5" t="str">
        <f t="shared" si="135"/>
        <v>汉族</v>
      </c>
    </row>
    <row r="1245" ht="30" customHeight="1" spans="1:6">
      <c r="A1245" s="5">
        <v>1243</v>
      </c>
      <c r="B1245" s="5" t="str">
        <f>"36412022010520094585856"</f>
        <v>36412022010520094585856</v>
      </c>
      <c r="C1245" s="5" t="s">
        <v>25</v>
      </c>
      <c r="D1245" s="5" t="str">
        <f>"符华芳"</f>
        <v>符华芳</v>
      </c>
      <c r="E1245" s="5" t="str">
        <f t="shared" ref="E1245:E1250" si="137">"女"</f>
        <v>女</v>
      </c>
      <c r="F1245" s="5" t="str">
        <f t="shared" si="135"/>
        <v>汉族</v>
      </c>
    </row>
    <row r="1246" ht="30" customHeight="1" spans="1:6">
      <c r="A1246" s="5">
        <v>1244</v>
      </c>
      <c r="B1246" s="5" t="str">
        <f>"36412022010520364585968"</f>
        <v>36412022010520364585968</v>
      </c>
      <c r="C1246" s="5" t="s">
        <v>25</v>
      </c>
      <c r="D1246" s="5" t="str">
        <f>"王欢"</f>
        <v>王欢</v>
      </c>
      <c r="E1246" s="5" t="str">
        <f t="shared" si="137"/>
        <v>女</v>
      </c>
      <c r="F1246" s="5" t="str">
        <f t="shared" si="135"/>
        <v>汉族</v>
      </c>
    </row>
    <row r="1247" ht="30" customHeight="1" spans="1:6">
      <c r="A1247" s="5">
        <v>1245</v>
      </c>
      <c r="B1247" s="5" t="str">
        <f>"36412022010520475386008"</f>
        <v>36412022010520475386008</v>
      </c>
      <c r="C1247" s="5" t="s">
        <v>25</v>
      </c>
      <c r="D1247" s="5" t="str">
        <f>"黎福桃"</f>
        <v>黎福桃</v>
      </c>
      <c r="E1247" s="5" t="str">
        <f t="shared" si="137"/>
        <v>女</v>
      </c>
      <c r="F1247" s="5" t="str">
        <f t="shared" si="135"/>
        <v>汉族</v>
      </c>
    </row>
    <row r="1248" ht="30" customHeight="1" spans="1:6">
      <c r="A1248" s="5">
        <v>1246</v>
      </c>
      <c r="B1248" s="5" t="str">
        <f>"36412022010521004986081"</f>
        <v>36412022010521004986081</v>
      </c>
      <c r="C1248" s="5" t="s">
        <v>25</v>
      </c>
      <c r="D1248" s="5" t="str">
        <f>"陈学嘉"</f>
        <v>陈学嘉</v>
      </c>
      <c r="E1248" s="5" t="str">
        <f t="shared" si="137"/>
        <v>女</v>
      </c>
      <c r="F1248" s="5" t="str">
        <f t="shared" si="135"/>
        <v>汉族</v>
      </c>
    </row>
    <row r="1249" ht="30" customHeight="1" spans="1:6">
      <c r="A1249" s="5">
        <v>1247</v>
      </c>
      <c r="B1249" s="5" t="str">
        <f>"36412022010521121786139"</f>
        <v>36412022010521121786139</v>
      </c>
      <c r="C1249" s="5" t="s">
        <v>25</v>
      </c>
      <c r="D1249" s="5" t="str">
        <f>"符玉香"</f>
        <v>符玉香</v>
      </c>
      <c r="E1249" s="5" t="str">
        <f t="shared" si="137"/>
        <v>女</v>
      </c>
      <c r="F1249" s="5" t="str">
        <f t="shared" si="135"/>
        <v>汉族</v>
      </c>
    </row>
    <row r="1250" ht="30" customHeight="1" spans="1:6">
      <c r="A1250" s="5">
        <v>1248</v>
      </c>
      <c r="B1250" s="5" t="str">
        <f>"36412022010521160986154"</f>
        <v>36412022010521160986154</v>
      </c>
      <c r="C1250" s="5" t="s">
        <v>25</v>
      </c>
      <c r="D1250" s="5" t="str">
        <f>"张琼丹"</f>
        <v>张琼丹</v>
      </c>
      <c r="E1250" s="5" t="str">
        <f t="shared" si="137"/>
        <v>女</v>
      </c>
      <c r="F1250" s="5" t="str">
        <f t="shared" si="135"/>
        <v>汉族</v>
      </c>
    </row>
    <row r="1251" ht="30" customHeight="1" spans="1:6">
      <c r="A1251" s="5">
        <v>1249</v>
      </c>
      <c r="B1251" s="5" t="str">
        <f>"36412022010521230586179"</f>
        <v>36412022010521230586179</v>
      </c>
      <c r="C1251" s="5" t="s">
        <v>25</v>
      </c>
      <c r="D1251" s="5" t="str">
        <f>"邹健峰"</f>
        <v>邹健峰</v>
      </c>
      <c r="E1251" s="5" t="str">
        <f>"男"</f>
        <v>男</v>
      </c>
      <c r="F1251" s="5" t="str">
        <f t="shared" si="135"/>
        <v>汉族</v>
      </c>
    </row>
    <row r="1252" ht="30" customHeight="1" spans="1:6">
      <c r="A1252" s="5">
        <v>1250</v>
      </c>
      <c r="B1252" s="5" t="str">
        <f>"36412022010521240986187"</f>
        <v>36412022010521240986187</v>
      </c>
      <c r="C1252" s="5" t="s">
        <v>25</v>
      </c>
      <c r="D1252" s="5" t="str">
        <f>"钟婷婷"</f>
        <v>钟婷婷</v>
      </c>
      <c r="E1252" s="5" t="str">
        <f>"女"</f>
        <v>女</v>
      </c>
      <c r="F1252" s="5" t="str">
        <f t="shared" si="135"/>
        <v>汉族</v>
      </c>
    </row>
    <row r="1253" ht="30" customHeight="1" spans="1:6">
      <c r="A1253" s="5">
        <v>1251</v>
      </c>
      <c r="B1253" s="5" t="str">
        <f>"36412022010521433686297"</f>
        <v>36412022010521433686297</v>
      </c>
      <c r="C1253" s="5" t="s">
        <v>25</v>
      </c>
      <c r="D1253" s="5" t="str">
        <f>"黎兴香"</f>
        <v>黎兴香</v>
      </c>
      <c r="E1253" s="5" t="str">
        <f>"女"</f>
        <v>女</v>
      </c>
      <c r="F1253" s="5" t="str">
        <f t="shared" si="135"/>
        <v>汉族</v>
      </c>
    </row>
    <row r="1254" ht="30" customHeight="1" spans="1:6">
      <c r="A1254" s="5">
        <v>1252</v>
      </c>
      <c r="B1254" s="5" t="str">
        <f>"36412022010521511186338"</f>
        <v>36412022010521511186338</v>
      </c>
      <c r="C1254" s="5" t="s">
        <v>25</v>
      </c>
      <c r="D1254" s="5" t="str">
        <f>"蔡日兰"</f>
        <v>蔡日兰</v>
      </c>
      <c r="E1254" s="5" t="str">
        <f>"女"</f>
        <v>女</v>
      </c>
      <c r="F1254" s="5" t="str">
        <f t="shared" si="135"/>
        <v>汉族</v>
      </c>
    </row>
    <row r="1255" ht="30" customHeight="1" spans="1:6">
      <c r="A1255" s="5">
        <v>1253</v>
      </c>
      <c r="B1255" s="5" t="str">
        <f>"36412022010521594586371"</f>
        <v>36412022010521594586371</v>
      </c>
      <c r="C1255" s="5" t="s">
        <v>25</v>
      </c>
      <c r="D1255" s="5" t="str">
        <f>"何小娜"</f>
        <v>何小娜</v>
      </c>
      <c r="E1255" s="5" t="str">
        <f>"女"</f>
        <v>女</v>
      </c>
      <c r="F1255" s="5" t="str">
        <f t="shared" si="135"/>
        <v>汉族</v>
      </c>
    </row>
    <row r="1256" ht="30" customHeight="1" spans="1:6">
      <c r="A1256" s="5">
        <v>1254</v>
      </c>
      <c r="B1256" s="5" t="str">
        <f>"36412022010522043186390"</f>
        <v>36412022010522043186390</v>
      </c>
      <c r="C1256" s="5" t="s">
        <v>25</v>
      </c>
      <c r="D1256" s="5" t="str">
        <f>"林诗桂"</f>
        <v>林诗桂</v>
      </c>
      <c r="E1256" s="5" t="str">
        <f>"男"</f>
        <v>男</v>
      </c>
      <c r="F1256" s="5" t="str">
        <f t="shared" si="135"/>
        <v>汉族</v>
      </c>
    </row>
    <row r="1257" ht="30" customHeight="1" spans="1:6">
      <c r="A1257" s="5">
        <v>1255</v>
      </c>
      <c r="B1257" s="5" t="str">
        <f>"36412022010522180986438"</f>
        <v>36412022010522180986438</v>
      </c>
      <c r="C1257" s="5" t="s">
        <v>25</v>
      </c>
      <c r="D1257" s="5" t="str">
        <f>"符秀玲"</f>
        <v>符秀玲</v>
      </c>
      <c r="E1257" s="5" t="str">
        <f t="shared" ref="E1257:E1272" si="138">"女"</f>
        <v>女</v>
      </c>
      <c r="F1257" s="5" t="str">
        <f t="shared" si="135"/>
        <v>汉族</v>
      </c>
    </row>
    <row r="1258" ht="30" customHeight="1" spans="1:6">
      <c r="A1258" s="5">
        <v>1256</v>
      </c>
      <c r="B1258" s="5" t="str">
        <f>"36412022010522232386457"</f>
        <v>36412022010522232386457</v>
      </c>
      <c r="C1258" s="5" t="s">
        <v>25</v>
      </c>
      <c r="D1258" s="5" t="str">
        <f>"董先先"</f>
        <v>董先先</v>
      </c>
      <c r="E1258" s="5" t="str">
        <f t="shared" si="138"/>
        <v>女</v>
      </c>
      <c r="F1258" s="5" t="str">
        <f>"黎族"</f>
        <v>黎族</v>
      </c>
    </row>
    <row r="1259" ht="30" customHeight="1" spans="1:6">
      <c r="A1259" s="5">
        <v>1257</v>
      </c>
      <c r="B1259" s="5" t="str">
        <f>"36412022010523474186682"</f>
        <v>36412022010523474186682</v>
      </c>
      <c r="C1259" s="5" t="s">
        <v>25</v>
      </c>
      <c r="D1259" s="5" t="str">
        <f>"李杰婷"</f>
        <v>李杰婷</v>
      </c>
      <c r="E1259" s="5" t="str">
        <f t="shared" si="138"/>
        <v>女</v>
      </c>
      <c r="F1259" s="5" t="str">
        <f t="shared" ref="F1259:F1277" si="139">"汉族"</f>
        <v>汉族</v>
      </c>
    </row>
    <row r="1260" ht="30" customHeight="1" spans="1:6">
      <c r="A1260" s="5">
        <v>1258</v>
      </c>
      <c r="B1260" s="5" t="str">
        <f>"36412022010607483786841"</f>
        <v>36412022010607483786841</v>
      </c>
      <c r="C1260" s="5" t="s">
        <v>25</v>
      </c>
      <c r="D1260" s="5" t="str">
        <f>"冯雪燕"</f>
        <v>冯雪燕</v>
      </c>
      <c r="E1260" s="5" t="str">
        <f t="shared" si="138"/>
        <v>女</v>
      </c>
      <c r="F1260" s="5" t="str">
        <f t="shared" si="139"/>
        <v>汉族</v>
      </c>
    </row>
    <row r="1261" ht="30" customHeight="1" spans="1:6">
      <c r="A1261" s="5">
        <v>1259</v>
      </c>
      <c r="B1261" s="5" t="str">
        <f>"36412022010608353586884"</f>
        <v>36412022010608353586884</v>
      </c>
      <c r="C1261" s="5" t="s">
        <v>25</v>
      </c>
      <c r="D1261" s="5" t="str">
        <f>"冯海平"</f>
        <v>冯海平</v>
      </c>
      <c r="E1261" s="5" t="str">
        <f t="shared" si="138"/>
        <v>女</v>
      </c>
      <c r="F1261" s="5" t="str">
        <f t="shared" si="139"/>
        <v>汉族</v>
      </c>
    </row>
    <row r="1262" ht="30" customHeight="1" spans="1:6">
      <c r="A1262" s="5">
        <v>1260</v>
      </c>
      <c r="B1262" s="5" t="str">
        <f>"36412022010608390386890"</f>
        <v>36412022010608390386890</v>
      </c>
      <c r="C1262" s="5" t="s">
        <v>25</v>
      </c>
      <c r="D1262" s="5" t="str">
        <f>"薛小荣"</f>
        <v>薛小荣</v>
      </c>
      <c r="E1262" s="5" t="str">
        <f t="shared" si="138"/>
        <v>女</v>
      </c>
      <c r="F1262" s="5" t="str">
        <f t="shared" si="139"/>
        <v>汉族</v>
      </c>
    </row>
    <row r="1263" ht="30" customHeight="1" spans="1:6">
      <c r="A1263" s="5">
        <v>1261</v>
      </c>
      <c r="B1263" s="5" t="str">
        <f>"36412022010609585687210"</f>
        <v>36412022010609585687210</v>
      </c>
      <c r="C1263" s="5" t="s">
        <v>25</v>
      </c>
      <c r="D1263" s="5" t="str">
        <f>"周教女"</f>
        <v>周教女</v>
      </c>
      <c r="E1263" s="5" t="str">
        <f t="shared" si="138"/>
        <v>女</v>
      </c>
      <c r="F1263" s="5" t="str">
        <f t="shared" si="139"/>
        <v>汉族</v>
      </c>
    </row>
    <row r="1264" ht="30" customHeight="1" spans="1:6">
      <c r="A1264" s="5">
        <v>1262</v>
      </c>
      <c r="B1264" s="5" t="str">
        <f>"36412022010610351787379"</f>
        <v>36412022010610351787379</v>
      </c>
      <c r="C1264" s="5" t="s">
        <v>25</v>
      </c>
      <c r="D1264" s="5" t="str">
        <f>"符望"</f>
        <v>符望</v>
      </c>
      <c r="E1264" s="5" t="str">
        <f t="shared" si="138"/>
        <v>女</v>
      </c>
      <c r="F1264" s="5" t="str">
        <f t="shared" si="139"/>
        <v>汉族</v>
      </c>
    </row>
    <row r="1265" ht="30" customHeight="1" spans="1:6">
      <c r="A1265" s="5">
        <v>1263</v>
      </c>
      <c r="B1265" s="5" t="str">
        <f>"36412022010610453887425"</f>
        <v>36412022010610453887425</v>
      </c>
      <c r="C1265" s="5" t="s">
        <v>25</v>
      </c>
      <c r="D1265" s="5" t="str">
        <f>"李金燕"</f>
        <v>李金燕</v>
      </c>
      <c r="E1265" s="5" t="str">
        <f t="shared" si="138"/>
        <v>女</v>
      </c>
      <c r="F1265" s="5" t="str">
        <f t="shared" si="139"/>
        <v>汉族</v>
      </c>
    </row>
    <row r="1266" ht="30" customHeight="1" spans="1:6">
      <c r="A1266" s="5">
        <v>1264</v>
      </c>
      <c r="B1266" s="5" t="str">
        <f>"36412022010610501187447"</f>
        <v>36412022010610501187447</v>
      </c>
      <c r="C1266" s="5" t="s">
        <v>25</v>
      </c>
      <c r="D1266" s="5" t="str">
        <f>"孔芙先"</f>
        <v>孔芙先</v>
      </c>
      <c r="E1266" s="5" t="str">
        <f t="shared" si="138"/>
        <v>女</v>
      </c>
      <c r="F1266" s="5" t="str">
        <f t="shared" si="139"/>
        <v>汉族</v>
      </c>
    </row>
    <row r="1267" ht="30" customHeight="1" spans="1:6">
      <c r="A1267" s="5">
        <v>1265</v>
      </c>
      <c r="B1267" s="5" t="str">
        <f>"36412022010610550887470"</f>
        <v>36412022010610550887470</v>
      </c>
      <c r="C1267" s="5" t="s">
        <v>25</v>
      </c>
      <c r="D1267" s="5" t="str">
        <f>"彭金梅"</f>
        <v>彭金梅</v>
      </c>
      <c r="E1267" s="5" t="str">
        <f t="shared" si="138"/>
        <v>女</v>
      </c>
      <c r="F1267" s="5" t="str">
        <f t="shared" si="139"/>
        <v>汉族</v>
      </c>
    </row>
    <row r="1268" ht="30" customHeight="1" spans="1:6">
      <c r="A1268" s="5">
        <v>1266</v>
      </c>
      <c r="B1268" s="5" t="str">
        <f>"36412022010611010087511"</f>
        <v>36412022010611010087511</v>
      </c>
      <c r="C1268" s="5" t="s">
        <v>25</v>
      </c>
      <c r="D1268" s="5" t="str">
        <f>"罗孔玲"</f>
        <v>罗孔玲</v>
      </c>
      <c r="E1268" s="5" t="str">
        <f t="shared" si="138"/>
        <v>女</v>
      </c>
      <c r="F1268" s="5" t="str">
        <f t="shared" si="139"/>
        <v>汉族</v>
      </c>
    </row>
    <row r="1269" ht="30" customHeight="1" spans="1:6">
      <c r="A1269" s="5">
        <v>1267</v>
      </c>
      <c r="B1269" s="5" t="str">
        <f>"36412022010611115987565"</f>
        <v>36412022010611115987565</v>
      </c>
      <c r="C1269" s="5" t="s">
        <v>25</v>
      </c>
      <c r="D1269" s="5" t="str">
        <f>"郭璤莹"</f>
        <v>郭璤莹</v>
      </c>
      <c r="E1269" s="5" t="str">
        <f t="shared" si="138"/>
        <v>女</v>
      </c>
      <c r="F1269" s="5" t="str">
        <f t="shared" si="139"/>
        <v>汉族</v>
      </c>
    </row>
    <row r="1270" ht="30" customHeight="1" spans="1:6">
      <c r="A1270" s="5">
        <v>1268</v>
      </c>
      <c r="B1270" s="5" t="str">
        <f>"36412022010612433787936"</f>
        <v>36412022010612433787936</v>
      </c>
      <c r="C1270" s="5" t="s">
        <v>25</v>
      </c>
      <c r="D1270" s="5" t="str">
        <f>"王转"</f>
        <v>王转</v>
      </c>
      <c r="E1270" s="5" t="str">
        <f t="shared" si="138"/>
        <v>女</v>
      </c>
      <c r="F1270" s="5" t="str">
        <f t="shared" si="139"/>
        <v>汉族</v>
      </c>
    </row>
    <row r="1271" ht="30" customHeight="1" spans="1:6">
      <c r="A1271" s="5">
        <v>1269</v>
      </c>
      <c r="B1271" s="5" t="str">
        <f>"36412022010613234688091"</f>
        <v>36412022010613234688091</v>
      </c>
      <c r="C1271" s="5" t="s">
        <v>25</v>
      </c>
      <c r="D1271" s="5" t="str">
        <f>"陈媚洁"</f>
        <v>陈媚洁</v>
      </c>
      <c r="E1271" s="5" t="str">
        <f t="shared" si="138"/>
        <v>女</v>
      </c>
      <c r="F1271" s="5" t="str">
        <f t="shared" si="139"/>
        <v>汉族</v>
      </c>
    </row>
    <row r="1272" ht="30" customHeight="1" spans="1:6">
      <c r="A1272" s="5">
        <v>1270</v>
      </c>
      <c r="B1272" s="5" t="str">
        <f>"36412022010615163688534"</f>
        <v>36412022010615163688534</v>
      </c>
      <c r="C1272" s="5" t="s">
        <v>25</v>
      </c>
      <c r="D1272" s="5" t="str">
        <f>"吴司南"</f>
        <v>吴司南</v>
      </c>
      <c r="E1272" s="5" t="str">
        <f t="shared" si="138"/>
        <v>女</v>
      </c>
      <c r="F1272" s="5" t="str">
        <f t="shared" si="139"/>
        <v>汉族</v>
      </c>
    </row>
    <row r="1273" ht="30" customHeight="1" spans="1:6">
      <c r="A1273" s="5">
        <v>1271</v>
      </c>
      <c r="B1273" s="5" t="str">
        <f>"36412022010615522488695"</f>
        <v>36412022010615522488695</v>
      </c>
      <c r="C1273" s="5" t="s">
        <v>25</v>
      </c>
      <c r="D1273" s="5" t="str">
        <f>"林志学"</f>
        <v>林志学</v>
      </c>
      <c r="E1273" s="5" t="str">
        <f>"男"</f>
        <v>男</v>
      </c>
      <c r="F1273" s="5" t="str">
        <f t="shared" si="139"/>
        <v>汉族</v>
      </c>
    </row>
    <row r="1274" ht="30" customHeight="1" spans="1:6">
      <c r="A1274" s="5">
        <v>1272</v>
      </c>
      <c r="B1274" s="5" t="str">
        <f>"36412022010616041088761"</f>
        <v>36412022010616041088761</v>
      </c>
      <c r="C1274" s="5" t="s">
        <v>25</v>
      </c>
      <c r="D1274" s="5" t="str">
        <f>"李春月"</f>
        <v>李春月</v>
      </c>
      <c r="E1274" s="5" t="str">
        <f>"女"</f>
        <v>女</v>
      </c>
      <c r="F1274" s="5" t="str">
        <f t="shared" si="139"/>
        <v>汉族</v>
      </c>
    </row>
    <row r="1275" ht="30" customHeight="1" spans="1:6">
      <c r="A1275" s="5">
        <v>1273</v>
      </c>
      <c r="B1275" s="5" t="str">
        <f>"36412022010616152988827"</f>
        <v>36412022010616152988827</v>
      </c>
      <c r="C1275" s="5" t="s">
        <v>25</v>
      </c>
      <c r="D1275" s="5" t="str">
        <f>"梁冬苗"</f>
        <v>梁冬苗</v>
      </c>
      <c r="E1275" s="5" t="str">
        <f>"女"</f>
        <v>女</v>
      </c>
      <c r="F1275" s="5" t="str">
        <f t="shared" si="139"/>
        <v>汉族</v>
      </c>
    </row>
    <row r="1276" ht="30" customHeight="1" spans="1:6">
      <c r="A1276" s="5">
        <v>1274</v>
      </c>
      <c r="B1276" s="5" t="str">
        <f>"36412022010617145889081"</f>
        <v>36412022010617145889081</v>
      </c>
      <c r="C1276" s="5" t="s">
        <v>25</v>
      </c>
      <c r="D1276" s="5" t="str">
        <f>"宋振丹"</f>
        <v>宋振丹</v>
      </c>
      <c r="E1276" s="5" t="str">
        <f>"女"</f>
        <v>女</v>
      </c>
      <c r="F1276" s="5" t="str">
        <f t="shared" si="139"/>
        <v>汉族</v>
      </c>
    </row>
    <row r="1277" ht="30" customHeight="1" spans="1:6">
      <c r="A1277" s="5">
        <v>1275</v>
      </c>
      <c r="B1277" s="5" t="str">
        <f>"36412022010618111089271"</f>
        <v>36412022010618111089271</v>
      </c>
      <c r="C1277" s="5" t="s">
        <v>25</v>
      </c>
      <c r="D1277" s="5" t="str">
        <f>"陈垂俊"</f>
        <v>陈垂俊</v>
      </c>
      <c r="E1277" s="5" t="str">
        <f>"男"</f>
        <v>男</v>
      </c>
      <c r="F1277" s="5" t="str">
        <f t="shared" si="139"/>
        <v>汉族</v>
      </c>
    </row>
    <row r="1278" ht="30" customHeight="1" spans="1:6">
      <c r="A1278" s="5">
        <v>1276</v>
      </c>
      <c r="B1278" s="5" t="str">
        <f>"36412022010619364289522"</f>
        <v>36412022010619364289522</v>
      </c>
      <c r="C1278" s="5" t="s">
        <v>25</v>
      </c>
      <c r="D1278" s="5" t="str">
        <f>"郑小甜"</f>
        <v>郑小甜</v>
      </c>
      <c r="E1278" s="5" t="str">
        <f t="shared" ref="E1278:E1288" si="140">"女"</f>
        <v>女</v>
      </c>
      <c r="F1278" s="5" t="str">
        <f>"黎族"</f>
        <v>黎族</v>
      </c>
    </row>
    <row r="1279" ht="30" customHeight="1" spans="1:6">
      <c r="A1279" s="5">
        <v>1277</v>
      </c>
      <c r="B1279" s="5" t="str">
        <f>"36412022010620240889725"</f>
        <v>36412022010620240889725</v>
      </c>
      <c r="C1279" s="5" t="s">
        <v>25</v>
      </c>
      <c r="D1279" s="5" t="str">
        <f>"羊福香"</f>
        <v>羊福香</v>
      </c>
      <c r="E1279" s="5" t="str">
        <f t="shared" si="140"/>
        <v>女</v>
      </c>
      <c r="F1279" s="5" t="str">
        <f t="shared" ref="F1279:F1288" si="141">"汉族"</f>
        <v>汉族</v>
      </c>
    </row>
    <row r="1280" ht="30" customHeight="1" spans="1:6">
      <c r="A1280" s="5">
        <v>1278</v>
      </c>
      <c r="B1280" s="5" t="str">
        <f>"36412022010620391789776"</f>
        <v>36412022010620391789776</v>
      </c>
      <c r="C1280" s="5" t="s">
        <v>25</v>
      </c>
      <c r="D1280" s="5" t="str">
        <f>"蒙娇"</f>
        <v>蒙娇</v>
      </c>
      <c r="E1280" s="5" t="str">
        <f t="shared" si="140"/>
        <v>女</v>
      </c>
      <c r="F1280" s="5" t="str">
        <f t="shared" si="141"/>
        <v>汉族</v>
      </c>
    </row>
    <row r="1281" ht="30" customHeight="1" spans="1:6">
      <c r="A1281" s="5">
        <v>1279</v>
      </c>
      <c r="B1281" s="5" t="str">
        <f>"36412022010620514289810"</f>
        <v>36412022010620514289810</v>
      </c>
      <c r="C1281" s="5" t="s">
        <v>25</v>
      </c>
      <c r="D1281" s="5" t="str">
        <f>"王苏惠"</f>
        <v>王苏惠</v>
      </c>
      <c r="E1281" s="5" t="str">
        <f t="shared" si="140"/>
        <v>女</v>
      </c>
      <c r="F1281" s="5" t="str">
        <f t="shared" si="141"/>
        <v>汉族</v>
      </c>
    </row>
    <row r="1282" ht="30" customHeight="1" spans="1:6">
      <c r="A1282" s="5">
        <v>1280</v>
      </c>
      <c r="B1282" s="5" t="str">
        <f>"36412022010621084489864"</f>
        <v>36412022010621084489864</v>
      </c>
      <c r="C1282" s="5" t="s">
        <v>25</v>
      </c>
      <c r="D1282" s="5" t="str">
        <f>"王盈"</f>
        <v>王盈</v>
      </c>
      <c r="E1282" s="5" t="str">
        <f t="shared" si="140"/>
        <v>女</v>
      </c>
      <c r="F1282" s="5" t="str">
        <f t="shared" si="141"/>
        <v>汉族</v>
      </c>
    </row>
    <row r="1283" ht="30" customHeight="1" spans="1:6">
      <c r="A1283" s="5">
        <v>1281</v>
      </c>
      <c r="B1283" s="5" t="str">
        <f>"36412022010621205989915"</f>
        <v>36412022010621205989915</v>
      </c>
      <c r="C1283" s="5" t="s">
        <v>25</v>
      </c>
      <c r="D1283" s="5" t="str">
        <f>"谢紫婵"</f>
        <v>谢紫婵</v>
      </c>
      <c r="E1283" s="5" t="str">
        <f t="shared" si="140"/>
        <v>女</v>
      </c>
      <c r="F1283" s="5" t="str">
        <f t="shared" si="141"/>
        <v>汉族</v>
      </c>
    </row>
    <row r="1284" ht="30" customHeight="1" spans="1:6">
      <c r="A1284" s="5">
        <v>1282</v>
      </c>
      <c r="B1284" s="5" t="str">
        <f>"36412022010621515390027"</f>
        <v>36412022010621515390027</v>
      </c>
      <c r="C1284" s="5" t="s">
        <v>25</v>
      </c>
      <c r="D1284" s="5" t="str">
        <f>"陈美鸾"</f>
        <v>陈美鸾</v>
      </c>
      <c r="E1284" s="5" t="str">
        <f t="shared" si="140"/>
        <v>女</v>
      </c>
      <c r="F1284" s="5" t="str">
        <f t="shared" si="141"/>
        <v>汉族</v>
      </c>
    </row>
    <row r="1285" ht="30" customHeight="1" spans="1:6">
      <c r="A1285" s="5">
        <v>1283</v>
      </c>
      <c r="B1285" s="5" t="str">
        <f>"36412022010622043190064"</f>
        <v>36412022010622043190064</v>
      </c>
      <c r="C1285" s="5" t="s">
        <v>25</v>
      </c>
      <c r="D1285" s="5" t="str">
        <f>"陈玉环"</f>
        <v>陈玉环</v>
      </c>
      <c r="E1285" s="5" t="str">
        <f t="shared" si="140"/>
        <v>女</v>
      </c>
      <c r="F1285" s="5" t="str">
        <f t="shared" si="141"/>
        <v>汉族</v>
      </c>
    </row>
    <row r="1286" ht="30" customHeight="1" spans="1:6">
      <c r="A1286" s="5">
        <v>1284</v>
      </c>
      <c r="B1286" s="5" t="str">
        <f>"36412022010622090090076"</f>
        <v>36412022010622090090076</v>
      </c>
      <c r="C1286" s="5" t="s">
        <v>25</v>
      </c>
      <c r="D1286" s="5" t="str">
        <f>"黎秋燕"</f>
        <v>黎秋燕</v>
      </c>
      <c r="E1286" s="5" t="str">
        <f t="shared" si="140"/>
        <v>女</v>
      </c>
      <c r="F1286" s="5" t="str">
        <f t="shared" si="141"/>
        <v>汉族</v>
      </c>
    </row>
    <row r="1287" ht="30" customHeight="1" spans="1:6">
      <c r="A1287" s="5">
        <v>1285</v>
      </c>
      <c r="B1287" s="5" t="str">
        <f>"36412022010622264990139"</f>
        <v>36412022010622264990139</v>
      </c>
      <c r="C1287" s="5" t="s">
        <v>25</v>
      </c>
      <c r="D1287" s="5" t="str">
        <f>"曾德珠"</f>
        <v>曾德珠</v>
      </c>
      <c r="E1287" s="5" t="str">
        <f t="shared" si="140"/>
        <v>女</v>
      </c>
      <c r="F1287" s="5" t="str">
        <f t="shared" si="141"/>
        <v>汉族</v>
      </c>
    </row>
    <row r="1288" ht="30" customHeight="1" spans="1:6">
      <c r="A1288" s="5">
        <v>1286</v>
      </c>
      <c r="B1288" s="5" t="str">
        <f>"36412022010622373790173"</f>
        <v>36412022010622373790173</v>
      </c>
      <c r="C1288" s="5" t="s">
        <v>25</v>
      </c>
      <c r="D1288" s="5" t="str">
        <f>"高彩慧"</f>
        <v>高彩慧</v>
      </c>
      <c r="E1288" s="5" t="str">
        <f t="shared" si="140"/>
        <v>女</v>
      </c>
      <c r="F1288" s="5" t="str">
        <f t="shared" si="141"/>
        <v>汉族</v>
      </c>
    </row>
    <row r="1289" ht="30" customHeight="1" spans="1:6">
      <c r="A1289" s="5">
        <v>1287</v>
      </c>
      <c r="B1289" s="5" t="str">
        <f>"36412022010623510090357"</f>
        <v>36412022010623510090357</v>
      </c>
      <c r="C1289" s="5" t="s">
        <v>25</v>
      </c>
      <c r="D1289" s="5" t="str">
        <f>"张熙"</f>
        <v>张熙</v>
      </c>
      <c r="E1289" s="5" t="str">
        <f>"男"</f>
        <v>男</v>
      </c>
      <c r="F1289" s="5" t="str">
        <f>"黎族"</f>
        <v>黎族</v>
      </c>
    </row>
    <row r="1290" ht="30" customHeight="1" spans="1:6">
      <c r="A1290" s="5">
        <v>1288</v>
      </c>
      <c r="B1290" s="5" t="str">
        <f>"36412022010623533890361"</f>
        <v>36412022010623533890361</v>
      </c>
      <c r="C1290" s="5" t="s">
        <v>25</v>
      </c>
      <c r="D1290" s="5" t="str">
        <f>"陈文丽"</f>
        <v>陈文丽</v>
      </c>
      <c r="E1290" s="5" t="str">
        <f>"女"</f>
        <v>女</v>
      </c>
      <c r="F1290" s="5" t="str">
        <f>"汉族"</f>
        <v>汉族</v>
      </c>
    </row>
    <row r="1291" ht="30" customHeight="1" spans="1:6">
      <c r="A1291" s="5">
        <v>1289</v>
      </c>
      <c r="B1291" s="5" t="str">
        <f>"36412022010700045290374"</f>
        <v>36412022010700045290374</v>
      </c>
      <c r="C1291" s="5" t="s">
        <v>25</v>
      </c>
      <c r="D1291" s="5" t="str">
        <f>"袁涌航"</f>
        <v>袁涌航</v>
      </c>
      <c r="E1291" s="5" t="str">
        <f>"男"</f>
        <v>男</v>
      </c>
      <c r="F1291" s="5" t="str">
        <f>"汉族"</f>
        <v>汉族</v>
      </c>
    </row>
    <row r="1292" ht="30" customHeight="1" spans="1:6">
      <c r="A1292" s="5">
        <v>1290</v>
      </c>
      <c r="B1292" s="5" t="str">
        <f>"36412022010707165090485"</f>
        <v>36412022010707165090485</v>
      </c>
      <c r="C1292" s="5" t="s">
        <v>25</v>
      </c>
      <c r="D1292" s="5" t="str">
        <f>"庞美娇"</f>
        <v>庞美娇</v>
      </c>
      <c r="E1292" s="5" t="str">
        <f t="shared" ref="E1292:E1322" si="142">"女"</f>
        <v>女</v>
      </c>
      <c r="F1292" s="5" t="str">
        <f>"汉族"</f>
        <v>汉族</v>
      </c>
    </row>
    <row r="1293" ht="30" customHeight="1" spans="1:6">
      <c r="A1293" s="5">
        <v>1291</v>
      </c>
      <c r="B1293" s="5" t="str">
        <f>"36412022010708065190506"</f>
        <v>36412022010708065190506</v>
      </c>
      <c r="C1293" s="5" t="s">
        <v>25</v>
      </c>
      <c r="D1293" s="5" t="str">
        <f>"兰丹利"</f>
        <v>兰丹利</v>
      </c>
      <c r="E1293" s="5" t="str">
        <f t="shared" si="142"/>
        <v>女</v>
      </c>
      <c r="F1293" s="5" t="str">
        <f>"黎族"</f>
        <v>黎族</v>
      </c>
    </row>
    <row r="1294" ht="30" customHeight="1" spans="1:6">
      <c r="A1294" s="5">
        <v>1292</v>
      </c>
      <c r="B1294" s="5" t="str">
        <f>"36412022010708445790559"</f>
        <v>36412022010708445790559</v>
      </c>
      <c r="C1294" s="5" t="s">
        <v>25</v>
      </c>
      <c r="D1294" s="5" t="str">
        <f>"高婕"</f>
        <v>高婕</v>
      </c>
      <c r="E1294" s="5" t="str">
        <f t="shared" si="142"/>
        <v>女</v>
      </c>
      <c r="F1294" s="5" t="str">
        <f>"黎族"</f>
        <v>黎族</v>
      </c>
    </row>
    <row r="1295" ht="30" customHeight="1" spans="1:6">
      <c r="A1295" s="5">
        <v>1293</v>
      </c>
      <c r="B1295" s="5" t="str">
        <f>"36412022010708583390593"</f>
        <v>36412022010708583390593</v>
      </c>
      <c r="C1295" s="5" t="s">
        <v>25</v>
      </c>
      <c r="D1295" s="5" t="str">
        <f>"盘芝菊"</f>
        <v>盘芝菊</v>
      </c>
      <c r="E1295" s="5" t="str">
        <f t="shared" si="142"/>
        <v>女</v>
      </c>
      <c r="F1295" s="5" t="str">
        <f t="shared" ref="F1295:F1306" si="143">"汉族"</f>
        <v>汉族</v>
      </c>
    </row>
    <row r="1296" ht="30" customHeight="1" spans="1:6">
      <c r="A1296" s="5">
        <v>1294</v>
      </c>
      <c r="B1296" s="5" t="str">
        <f>"36412022010709504390743"</f>
        <v>36412022010709504390743</v>
      </c>
      <c r="C1296" s="5" t="s">
        <v>25</v>
      </c>
      <c r="D1296" s="5" t="str">
        <f>"万青青"</f>
        <v>万青青</v>
      </c>
      <c r="E1296" s="5" t="str">
        <f t="shared" si="142"/>
        <v>女</v>
      </c>
      <c r="F1296" s="5" t="str">
        <f t="shared" si="143"/>
        <v>汉族</v>
      </c>
    </row>
    <row r="1297" ht="30" customHeight="1" spans="1:6">
      <c r="A1297" s="5">
        <v>1295</v>
      </c>
      <c r="B1297" s="5" t="str">
        <f>"36412022010710144890831"</f>
        <v>36412022010710144890831</v>
      </c>
      <c r="C1297" s="5" t="s">
        <v>25</v>
      </c>
      <c r="D1297" s="5" t="str">
        <f>"张芸平"</f>
        <v>张芸平</v>
      </c>
      <c r="E1297" s="5" t="str">
        <f t="shared" si="142"/>
        <v>女</v>
      </c>
      <c r="F1297" s="5" t="str">
        <f t="shared" si="143"/>
        <v>汉族</v>
      </c>
    </row>
    <row r="1298" ht="30" customHeight="1" spans="1:6">
      <c r="A1298" s="5">
        <v>1296</v>
      </c>
      <c r="B1298" s="5" t="str">
        <f>"36412022010710413390935"</f>
        <v>36412022010710413390935</v>
      </c>
      <c r="C1298" s="5" t="s">
        <v>25</v>
      </c>
      <c r="D1298" s="5" t="str">
        <f>"符芳莉"</f>
        <v>符芳莉</v>
      </c>
      <c r="E1298" s="5" t="str">
        <f t="shared" si="142"/>
        <v>女</v>
      </c>
      <c r="F1298" s="5" t="str">
        <f t="shared" si="143"/>
        <v>汉族</v>
      </c>
    </row>
    <row r="1299" ht="30" customHeight="1" spans="1:6">
      <c r="A1299" s="5">
        <v>1297</v>
      </c>
      <c r="B1299" s="5" t="str">
        <f>"36412022010710531490988"</f>
        <v>36412022010710531490988</v>
      </c>
      <c r="C1299" s="5" t="s">
        <v>25</v>
      </c>
      <c r="D1299" s="5" t="str">
        <f>"李喆"</f>
        <v>李喆</v>
      </c>
      <c r="E1299" s="5" t="str">
        <f t="shared" si="142"/>
        <v>女</v>
      </c>
      <c r="F1299" s="5" t="str">
        <f t="shared" si="143"/>
        <v>汉族</v>
      </c>
    </row>
    <row r="1300" ht="30" customHeight="1" spans="1:6">
      <c r="A1300" s="5">
        <v>1298</v>
      </c>
      <c r="B1300" s="5" t="str">
        <f>"36412022010711152891076"</f>
        <v>36412022010711152891076</v>
      </c>
      <c r="C1300" s="5" t="s">
        <v>25</v>
      </c>
      <c r="D1300" s="5" t="str">
        <f>"陈艳丽"</f>
        <v>陈艳丽</v>
      </c>
      <c r="E1300" s="5" t="str">
        <f t="shared" si="142"/>
        <v>女</v>
      </c>
      <c r="F1300" s="5" t="str">
        <f t="shared" si="143"/>
        <v>汉族</v>
      </c>
    </row>
    <row r="1301" ht="30" customHeight="1" spans="1:6">
      <c r="A1301" s="5">
        <v>1299</v>
      </c>
      <c r="B1301" s="5" t="str">
        <f>"36412022010711203491093"</f>
        <v>36412022010711203491093</v>
      </c>
      <c r="C1301" s="5" t="s">
        <v>25</v>
      </c>
      <c r="D1301" s="5" t="str">
        <f>"陈娜"</f>
        <v>陈娜</v>
      </c>
      <c r="E1301" s="5" t="str">
        <f t="shared" si="142"/>
        <v>女</v>
      </c>
      <c r="F1301" s="5" t="str">
        <f t="shared" si="143"/>
        <v>汉族</v>
      </c>
    </row>
    <row r="1302" ht="30" customHeight="1" spans="1:6">
      <c r="A1302" s="5">
        <v>1300</v>
      </c>
      <c r="B1302" s="5" t="str">
        <f>"36412022010711430691173"</f>
        <v>36412022010711430691173</v>
      </c>
      <c r="C1302" s="5" t="s">
        <v>25</v>
      </c>
      <c r="D1302" s="5" t="str">
        <f>"邓春燕"</f>
        <v>邓春燕</v>
      </c>
      <c r="E1302" s="5" t="str">
        <f t="shared" si="142"/>
        <v>女</v>
      </c>
      <c r="F1302" s="5" t="str">
        <f t="shared" si="143"/>
        <v>汉族</v>
      </c>
    </row>
    <row r="1303" ht="30" customHeight="1" spans="1:6">
      <c r="A1303" s="5">
        <v>1301</v>
      </c>
      <c r="B1303" s="5" t="str">
        <f>"36412022010711484491200"</f>
        <v>36412022010711484491200</v>
      </c>
      <c r="C1303" s="5" t="s">
        <v>25</v>
      </c>
      <c r="D1303" s="5" t="str">
        <f>"赖美圆"</f>
        <v>赖美圆</v>
      </c>
      <c r="E1303" s="5" t="str">
        <f t="shared" si="142"/>
        <v>女</v>
      </c>
      <c r="F1303" s="5" t="str">
        <f t="shared" si="143"/>
        <v>汉族</v>
      </c>
    </row>
    <row r="1304" ht="30" customHeight="1" spans="1:6">
      <c r="A1304" s="5">
        <v>1302</v>
      </c>
      <c r="B1304" s="5" t="str">
        <f>"36412022010712432791407"</f>
        <v>36412022010712432791407</v>
      </c>
      <c r="C1304" s="5" t="s">
        <v>25</v>
      </c>
      <c r="D1304" s="5" t="str">
        <f>"吴清雅"</f>
        <v>吴清雅</v>
      </c>
      <c r="E1304" s="5" t="str">
        <f t="shared" si="142"/>
        <v>女</v>
      </c>
      <c r="F1304" s="5" t="str">
        <f t="shared" si="143"/>
        <v>汉族</v>
      </c>
    </row>
    <row r="1305" ht="30" customHeight="1" spans="1:6">
      <c r="A1305" s="5">
        <v>1303</v>
      </c>
      <c r="B1305" s="5" t="str">
        <f>"36412022010713572591649"</f>
        <v>36412022010713572591649</v>
      </c>
      <c r="C1305" s="5" t="s">
        <v>25</v>
      </c>
      <c r="D1305" s="5" t="str">
        <f>"林佳婷"</f>
        <v>林佳婷</v>
      </c>
      <c r="E1305" s="5" t="str">
        <f t="shared" si="142"/>
        <v>女</v>
      </c>
      <c r="F1305" s="5" t="str">
        <f t="shared" si="143"/>
        <v>汉族</v>
      </c>
    </row>
    <row r="1306" ht="30" customHeight="1" spans="1:6">
      <c r="A1306" s="5">
        <v>1304</v>
      </c>
      <c r="B1306" s="5" t="str">
        <f>"36412022010714211891722"</f>
        <v>36412022010714211891722</v>
      </c>
      <c r="C1306" s="5" t="s">
        <v>25</v>
      </c>
      <c r="D1306" s="5" t="str">
        <f>"郑儒媛"</f>
        <v>郑儒媛</v>
      </c>
      <c r="E1306" s="5" t="str">
        <f t="shared" si="142"/>
        <v>女</v>
      </c>
      <c r="F1306" s="5" t="str">
        <f t="shared" si="143"/>
        <v>汉族</v>
      </c>
    </row>
    <row r="1307" ht="30" customHeight="1" spans="1:6">
      <c r="A1307" s="5">
        <v>1305</v>
      </c>
      <c r="B1307" s="5" t="str">
        <f>"36412022010715261491957"</f>
        <v>36412022010715261491957</v>
      </c>
      <c r="C1307" s="5" t="s">
        <v>25</v>
      </c>
      <c r="D1307" s="5" t="str">
        <f>"王梦"</f>
        <v>王梦</v>
      </c>
      <c r="E1307" s="5" t="str">
        <f t="shared" si="142"/>
        <v>女</v>
      </c>
      <c r="F1307" s="5" t="str">
        <f>"黎族"</f>
        <v>黎族</v>
      </c>
    </row>
    <row r="1308" ht="30" customHeight="1" spans="1:6">
      <c r="A1308" s="5">
        <v>1306</v>
      </c>
      <c r="B1308" s="5" t="str">
        <f>"36412022010715421792029"</f>
        <v>36412022010715421792029</v>
      </c>
      <c r="C1308" s="5" t="s">
        <v>25</v>
      </c>
      <c r="D1308" s="5" t="str">
        <f>"梁杨英"</f>
        <v>梁杨英</v>
      </c>
      <c r="E1308" s="5" t="str">
        <f t="shared" si="142"/>
        <v>女</v>
      </c>
      <c r="F1308" s="5" t="str">
        <f>"汉族"</f>
        <v>汉族</v>
      </c>
    </row>
    <row r="1309" ht="30" customHeight="1" spans="1:6">
      <c r="A1309" s="5">
        <v>1307</v>
      </c>
      <c r="B1309" s="5" t="str">
        <f>"36412022010715440992039"</f>
        <v>36412022010715440992039</v>
      </c>
      <c r="C1309" s="5" t="s">
        <v>25</v>
      </c>
      <c r="D1309" s="5" t="str">
        <f>"陈金宝"</f>
        <v>陈金宝</v>
      </c>
      <c r="E1309" s="5" t="str">
        <f t="shared" si="142"/>
        <v>女</v>
      </c>
      <c r="F1309" s="5" t="str">
        <f>"汉族"</f>
        <v>汉族</v>
      </c>
    </row>
    <row r="1310" ht="30" customHeight="1" spans="1:6">
      <c r="A1310" s="5">
        <v>1308</v>
      </c>
      <c r="B1310" s="5" t="str">
        <f>"36412022010716185792185"</f>
        <v>36412022010716185792185</v>
      </c>
      <c r="C1310" s="5" t="s">
        <v>25</v>
      </c>
      <c r="D1310" s="5" t="str">
        <f>"李允香"</f>
        <v>李允香</v>
      </c>
      <c r="E1310" s="5" t="str">
        <f t="shared" si="142"/>
        <v>女</v>
      </c>
      <c r="F1310" s="5" t="str">
        <f>"汉族"</f>
        <v>汉族</v>
      </c>
    </row>
    <row r="1311" ht="30" customHeight="1" spans="1:6">
      <c r="A1311" s="5">
        <v>1309</v>
      </c>
      <c r="B1311" s="5" t="str">
        <f>"36412022010717100392358"</f>
        <v>36412022010717100392358</v>
      </c>
      <c r="C1311" s="5" t="s">
        <v>25</v>
      </c>
      <c r="D1311" s="5" t="str">
        <f>"刘娜英"</f>
        <v>刘娜英</v>
      </c>
      <c r="E1311" s="5" t="str">
        <f t="shared" si="142"/>
        <v>女</v>
      </c>
      <c r="F1311" s="5" t="str">
        <f>"黎族"</f>
        <v>黎族</v>
      </c>
    </row>
    <row r="1312" ht="30" customHeight="1" spans="1:6">
      <c r="A1312" s="5">
        <v>1310</v>
      </c>
      <c r="B1312" s="5" t="str">
        <f>"36412022010717415492448"</f>
        <v>36412022010717415492448</v>
      </c>
      <c r="C1312" s="5" t="s">
        <v>25</v>
      </c>
      <c r="D1312" s="5" t="str">
        <f>"陈丹"</f>
        <v>陈丹</v>
      </c>
      <c r="E1312" s="5" t="str">
        <f t="shared" si="142"/>
        <v>女</v>
      </c>
      <c r="F1312" s="5" t="str">
        <f>"汉族"</f>
        <v>汉族</v>
      </c>
    </row>
    <row r="1313" ht="30" customHeight="1" spans="1:6">
      <c r="A1313" s="5">
        <v>1311</v>
      </c>
      <c r="B1313" s="5" t="str">
        <f>"36412022010717522492466"</f>
        <v>36412022010717522492466</v>
      </c>
      <c r="C1313" s="5" t="s">
        <v>25</v>
      </c>
      <c r="D1313" s="5" t="str">
        <f>"羊焕莲"</f>
        <v>羊焕莲</v>
      </c>
      <c r="E1313" s="5" t="str">
        <f t="shared" si="142"/>
        <v>女</v>
      </c>
      <c r="F1313" s="5" t="str">
        <f>"汉族"</f>
        <v>汉族</v>
      </c>
    </row>
    <row r="1314" ht="30" customHeight="1" spans="1:6">
      <c r="A1314" s="5">
        <v>1312</v>
      </c>
      <c r="B1314" s="5" t="str">
        <f>"36412022010719033092607"</f>
        <v>36412022010719033092607</v>
      </c>
      <c r="C1314" s="5" t="s">
        <v>25</v>
      </c>
      <c r="D1314" s="5" t="str">
        <f>"胡春秋"</f>
        <v>胡春秋</v>
      </c>
      <c r="E1314" s="5" t="str">
        <f t="shared" si="142"/>
        <v>女</v>
      </c>
      <c r="F1314" s="5" t="str">
        <f>"黎族"</f>
        <v>黎族</v>
      </c>
    </row>
    <row r="1315" ht="30" customHeight="1" spans="1:6">
      <c r="A1315" s="5">
        <v>1313</v>
      </c>
      <c r="B1315" s="5" t="str">
        <f>"36412022010719235092636"</f>
        <v>36412022010719235092636</v>
      </c>
      <c r="C1315" s="5" t="s">
        <v>25</v>
      </c>
      <c r="D1315" s="5" t="str">
        <f>"云天姿"</f>
        <v>云天姿</v>
      </c>
      <c r="E1315" s="5" t="str">
        <f t="shared" si="142"/>
        <v>女</v>
      </c>
      <c r="F1315" s="5" t="str">
        <f t="shared" ref="F1315:F1330" si="144">"汉族"</f>
        <v>汉族</v>
      </c>
    </row>
    <row r="1316" ht="30" customHeight="1" spans="1:6">
      <c r="A1316" s="5">
        <v>1314</v>
      </c>
      <c r="B1316" s="5" t="str">
        <f>"36412022010720445792780"</f>
        <v>36412022010720445792780</v>
      </c>
      <c r="C1316" s="5" t="s">
        <v>25</v>
      </c>
      <c r="D1316" s="5" t="str">
        <f>"何守菊"</f>
        <v>何守菊</v>
      </c>
      <c r="E1316" s="5" t="str">
        <f t="shared" si="142"/>
        <v>女</v>
      </c>
      <c r="F1316" s="5" t="str">
        <f t="shared" si="144"/>
        <v>汉族</v>
      </c>
    </row>
    <row r="1317" ht="30" customHeight="1" spans="1:6">
      <c r="A1317" s="5">
        <v>1315</v>
      </c>
      <c r="B1317" s="5" t="str">
        <f>"36412022010720530992791"</f>
        <v>36412022010720530992791</v>
      </c>
      <c r="C1317" s="5" t="s">
        <v>25</v>
      </c>
      <c r="D1317" s="5" t="str">
        <f>"钟珍梅"</f>
        <v>钟珍梅</v>
      </c>
      <c r="E1317" s="5" t="str">
        <f t="shared" si="142"/>
        <v>女</v>
      </c>
      <c r="F1317" s="5" t="str">
        <f t="shared" si="144"/>
        <v>汉族</v>
      </c>
    </row>
    <row r="1318" ht="30" customHeight="1" spans="1:6">
      <c r="A1318" s="5">
        <v>1316</v>
      </c>
      <c r="B1318" s="5" t="str">
        <f>"36412022010721381192864"</f>
        <v>36412022010721381192864</v>
      </c>
      <c r="C1318" s="5" t="s">
        <v>25</v>
      </c>
      <c r="D1318" s="5" t="str">
        <f>"唐珊珊"</f>
        <v>唐珊珊</v>
      </c>
      <c r="E1318" s="5" t="str">
        <f t="shared" si="142"/>
        <v>女</v>
      </c>
      <c r="F1318" s="5" t="str">
        <f t="shared" si="144"/>
        <v>汉族</v>
      </c>
    </row>
    <row r="1319" ht="30" customHeight="1" spans="1:6">
      <c r="A1319" s="5">
        <v>1317</v>
      </c>
      <c r="B1319" s="5" t="str">
        <f>"36412022010721473792878"</f>
        <v>36412022010721473792878</v>
      </c>
      <c r="C1319" s="5" t="s">
        <v>25</v>
      </c>
      <c r="D1319" s="5" t="str">
        <f>"陈小钰"</f>
        <v>陈小钰</v>
      </c>
      <c r="E1319" s="5" t="str">
        <f t="shared" si="142"/>
        <v>女</v>
      </c>
      <c r="F1319" s="5" t="str">
        <f t="shared" si="144"/>
        <v>汉族</v>
      </c>
    </row>
    <row r="1320" ht="30" customHeight="1" spans="1:6">
      <c r="A1320" s="5">
        <v>1318</v>
      </c>
      <c r="B1320" s="5" t="str">
        <f>"36412022010721492192885"</f>
        <v>36412022010721492192885</v>
      </c>
      <c r="C1320" s="5" t="s">
        <v>25</v>
      </c>
      <c r="D1320" s="5" t="str">
        <f>"胡佳佳"</f>
        <v>胡佳佳</v>
      </c>
      <c r="E1320" s="5" t="str">
        <f t="shared" si="142"/>
        <v>女</v>
      </c>
      <c r="F1320" s="5" t="str">
        <f t="shared" si="144"/>
        <v>汉族</v>
      </c>
    </row>
    <row r="1321" ht="30" customHeight="1" spans="1:6">
      <c r="A1321" s="5">
        <v>1319</v>
      </c>
      <c r="B1321" s="5" t="str">
        <f>"36412022010721562892902"</f>
        <v>36412022010721562892902</v>
      </c>
      <c r="C1321" s="5" t="s">
        <v>25</v>
      </c>
      <c r="D1321" s="5" t="str">
        <f>"许倩"</f>
        <v>许倩</v>
      </c>
      <c r="E1321" s="5" t="str">
        <f t="shared" si="142"/>
        <v>女</v>
      </c>
      <c r="F1321" s="5" t="str">
        <f t="shared" si="144"/>
        <v>汉族</v>
      </c>
    </row>
    <row r="1322" ht="30" customHeight="1" spans="1:6">
      <c r="A1322" s="5">
        <v>1320</v>
      </c>
      <c r="B1322" s="5" t="str">
        <f>"36412022010722222092943"</f>
        <v>36412022010722222092943</v>
      </c>
      <c r="C1322" s="5" t="s">
        <v>25</v>
      </c>
      <c r="D1322" s="5" t="str">
        <f>"李佳珍"</f>
        <v>李佳珍</v>
      </c>
      <c r="E1322" s="5" t="str">
        <f t="shared" si="142"/>
        <v>女</v>
      </c>
      <c r="F1322" s="5" t="str">
        <f t="shared" si="144"/>
        <v>汉族</v>
      </c>
    </row>
    <row r="1323" ht="30" customHeight="1" spans="1:6">
      <c r="A1323" s="5">
        <v>1321</v>
      </c>
      <c r="B1323" s="5" t="str">
        <f>"36412022010723572493043"</f>
        <v>36412022010723572493043</v>
      </c>
      <c r="C1323" s="5" t="s">
        <v>25</v>
      </c>
      <c r="D1323" s="5" t="str">
        <f>"邱庆征"</f>
        <v>邱庆征</v>
      </c>
      <c r="E1323" s="5" t="str">
        <f>"男"</f>
        <v>男</v>
      </c>
      <c r="F1323" s="5" t="str">
        <f t="shared" si="144"/>
        <v>汉族</v>
      </c>
    </row>
    <row r="1324" ht="30" customHeight="1" spans="1:6">
      <c r="A1324" s="5">
        <v>1322</v>
      </c>
      <c r="B1324" s="5" t="str">
        <f>"36412022010808473093113"</f>
        <v>36412022010808473093113</v>
      </c>
      <c r="C1324" s="5" t="s">
        <v>25</v>
      </c>
      <c r="D1324" s="5" t="str">
        <f>"邓植立"</f>
        <v>邓植立</v>
      </c>
      <c r="E1324" s="5" t="str">
        <f>"女"</f>
        <v>女</v>
      </c>
      <c r="F1324" s="5" t="str">
        <f t="shared" si="144"/>
        <v>汉族</v>
      </c>
    </row>
    <row r="1325" ht="30" customHeight="1" spans="1:6">
      <c r="A1325" s="5">
        <v>1323</v>
      </c>
      <c r="B1325" s="5" t="str">
        <f>"36412022010809261393145"</f>
        <v>36412022010809261393145</v>
      </c>
      <c r="C1325" s="5" t="s">
        <v>25</v>
      </c>
      <c r="D1325" s="5" t="str">
        <f>"王兰妮"</f>
        <v>王兰妮</v>
      </c>
      <c r="E1325" s="5" t="str">
        <f>"女"</f>
        <v>女</v>
      </c>
      <c r="F1325" s="5" t="str">
        <f t="shared" si="144"/>
        <v>汉族</v>
      </c>
    </row>
    <row r="1326" ht="30" customHeight="1" spans="1:6">
      <c r="A1326" s="5">
        <v>1324</v>
      </c>
      <c r="B1326" s="5" t="str">
        <f>"36412022010811140893282"</f>
        <v>36412022010811140893282</v>
      </c>
      <c r="C1326" s="5" t="s">
        <v>25</v>
      </c>
      <c r="D1326" s="5" t="str">
        <f>"李佳慧"</f>
        <v>李佳慧</v>
      </c>
      <c r="E1326" s="5" t="str">
        <f>"女"</f>
        <v>女</v>
      </c>
      <c r="F1326" s="5" t="str">
        <f t="shared" si="144"/>
        <v>汉族</v>
      </c>
    </row>
    <row r="1327" ht="30" customHeight="1" spans="1:6">
      <c r="A1327" s="5">
        <v>1325</v>
      </c>
      <c r="B1327" s="5" t="str">
        <f>"36412022010812422793396"</f>
        <v>36412022010812422793396</v>
      </c>
      <c r="C1327" s="5" t="s">
        <v>25</v>
      </c>
      <c r="D1327" s="5" t="str">
        <f>"陆洁"</f>
        <v>陆洁</v>
      </c>
      <c r="E1327" s="5" t="str">
        <f>"女"</f>
        <v>女</v>
      </c>
      <c r="F1327" s="5" t="str">
        <f t="shared" si="144"/>
        <v>汉族</v>
      </c>
    </row>
    <row r="1328" ht="30" customHeight="1" spans="1:6">
      <c r="A1328" s="5">
        <v>1326</v>
      </c>
      <c r="B1328" s="5" t="str">
        <f>"36412022010813250593443"</f>
        <v>36412022010813250593443</v>
      </c>
      <c r="C1328" s="5" t="s">
        <v>25</v>
      </c>
      <c r="D1328" s="5" t="str">
        <f>"李燕"</f>
        <v>李燕</v>
      </c>
      <c r="E1328" s="5" t="str">
        <f>"女"</f>
        <v>女</v>
      </c>
      <c r="F1328" s="5" t="str">
        <f t="shared" si="144"/>
        <v>汉族</v>
      </c>
    </row>
    <row r="1329" ht="30" customHeight="1" spans="1:6">
      <c r="A1329" s="5">
        <v>1327</v>
      </c>
      <c r="B1329" s="5" t="str">
        <f>"36412022010813563093479"</f>
        <v>36412022010813563093479</v>
      </c>
      <c r="C1329" s="5" t="s">
        <v>25</v>
      </c>
      <c r="D1329" s="5" t="str">
        <f>"何铭洪"</f>
        <v>何铭洪</v>
      </c>
      <c r="E1329" s="5" t="str">
        <f>"男"</f>
        <v>男</v>
      </c>
      <c r="F1329" s="5" t="str">
        <f t="shared" si="144"/>
        <v>汉族</v>
      </c>
    </row>
    <row r="1330" ht="30" customHeight="1" spans="1:6">
      <c r="A1330" s="5">
        <v>1328</v>
      </c>
      <c r="B1330" s="5" t="str">
        <f>"36412022010814485093561"</f>
        <v>36412022010814485093561</v>
      </c>
      <c r="C1330" s="5" t="s">
        <v>25</v>
      </c>
      <c r="D1330" s="5" t="str">
        <f>"郭易侨"</f>
        <v>郭易侨</v>
      </c>
      <c r="E1330" s="5" t="str">
        <f>"男"</f>
        <v>男</v>
      </c>
      <c r="F1330" s="5" t="str">
        <f t="shared" si="144"/>
        <v>汉族</v>
      </c>
    </row>
    <row r="1331" ht="30" customHeight="1" spans="1:6">
      <c r="A1331" s="5">
        <v>1329</v>
      </c>
      <c r="B1331" s="5" t="str">
        <f>"36412022010816344193741"</f>
        <v>36412022010816344193741</v>
      </c>
      <c r="C1331" s="5" t="s">
        <v>25</v>
      </c>
      <c r="D1331" s="5" t="str">
        <f>"马素妹"</f>
        <v>马素妹</v>
      </c>
      <c r="E1331" s="5" t="str">
        <f>"女"</f>
        <v>女</v>
      </c>
      <c r="F1331" s="5" t="str">
        <f>"黎族"</f>
        <v>黎族</v>
      </c>
    </row>
    <row r="1332" ht="30" customHeight="1" spans="1:6">
      <c r="A1332" s="5">
        <v>1330</v>
      </c>
      <c r="B1332" s="5" t="str">
        <f>"36412022010817385593841"</f>
        <v>36412022010817385593841</v>
      </c>
      <c r="C1332" s="5" t="s">
        <v>25</v>
      </c>
      <c r="D1332" s="5" t="str">
        <f>"麦慧霞"</f>
        <v>麦慧霞</v>
      </c>
      <c r="E1332" s="5" t="str">
        <f>"女"</f>
        <v>女</v>
      </c>
      <c r="F1332" s="5" t="str">
        <f>"汉族"</f>
        <v>汉族</v>
      </c>
    </row>
    <row r="1333" ht="30" customHeight="1" spans="1:6">
      <c r="A1333" s="5">
        <v>1331</v>
      </c>
      <c r="B1333" s="5" t="str">
        <f>"36412022010817464493858"</f>
        <v>36412022010817464493858</v>
      </c>
      <c r="C1333" s="5" t="s">
        <v>25</v>
      </c>
      <c r="D1333" s="5" t="str">
        <f>"李徐苗"</f>
        <v>李徐苗</v>
      </c>
      <c r="E1333" s="5" t="str">
        <f>"女"</f>
        <v>女</v>
      </c>
      <c r="F1333" s="5" t="str">
        <f>"汉族"</f>
        <v>汉族</v>
      </c>
    </row>
    <row r="1334" ht="30" customHeight="1" spans="1:6">
      <c r="A1334" s="5">
        <v>1332</v>
      </c>
      <c r="B1334" s="5" t="str">
        <f>"36412022010818234493915"</f>
        <v>36412022010818234493915</v>
      </c>
      <c r="C1334" s="5" t="s">
        <v>25</v>
      </c>
      <c r="D1334" s="5" t="str">
        <f>"周钟抗"</f>
        <v>周钟抗</v>
      </c>
      <c r="E1334" s="5" t="str">
        <f>"男"</f>
        <v>男</v>
      </c>
      <c r="F1334" s="5" t="str">
        <f>"汉族"</f>
        <v>汉族</v>
      </c>
    </row>
    <row r="1335" ht="30" customHeight="1" spans="1:6">
      <c r="A1335" s="5">
        <v>1333</v>
      </c>
      <c r="B1335" s="5" t="str">
        <f>"36412022010818573793958"</f>
        <v>36412022010818573793958</v>
      </c>
      <c r="C1335" s="5" t="s">
        <v>25</v>
      </c>
      <c r="D1335" s="5" t="str">
        <f>"符丽芳"</f>
        <v>符丽芳</v>
      </c>
      <c r="E1335" s="5" t="str">
        <f t="shared" ref="E1335:E1342" si="145">"女"</f>
        <v>女</v>
      </c>
      <c r="F1335" s="5" t="str">
        <f>"黎族"</f>
        <v>黎族</v>
      </c>
    </row>
    <row r="1336" ht="30" customHeight="1" spans="1:6">
      <c r="A1336" s="5">
        <v>1334</v>
      </c>
      <c r="B1336" s="5" t="str">
        <f>"36412022010819000993967"</f>
        <v>36412022010819000993967</v>
      </c>
      <c r="C1336" s="5" t="s">
        <v>25</v>
      </c>
      <c r="D1336" s="5" t="str">
        <f>"吴萍"</f>
        <v>吴萍</v>
      </c>
      <c r="E1336" s="5" t="str">
        <f t="shared" si="145"/>
        <v>女</v>
      </c>
      <c r="F1336" s="5" t="str">
        <f t="shared" ref="F1336:F1355" si="146">"汉族"</f>
        <v>汉族</v>
      </c>
    </row>
    <row r="1337" ht="30" customHeight="1" spans="1:6">
      <c r="A1337" s="5">
        <v>1335</v>
      </c>
      <c r="B1337" s="5" t="str">
        <f>"36412022010819294794016"</f>
        <v>36412022010819294794016</v>
      </c>
      <c r="C1337" s="5" t="s">
        <v>25</v>
      </c>
      <c r="D1337" s="5" t="str">
        <f>"麦丽翠"</f>
        <v>麦丽翠</v>
      </c>
      <c r="E1337" s="5" t="str">
        <f t="shared" si="145"/>
        <v>女</v>
      </c>
      <c r="F1337" s="5" t="str">
        <f t="shared" si="146"/>
        <v>汉族</v>
      </c>
    </row>
    <row r="1338" ht="30" customHeight="1" spans="1:6">
      <c r="A1338" s="5">
        <v>1336</v>
      </c>
      <c r="B1338" s="5" t="str">
        <f>"36412022010819351794026"</f>
        <v>36412022010819351794026</v>
      </c>
      <c r="C1338" s="5" t="s">
        <v>25</v>
      </c>
      <c r="D1338" s="5" t="str">
        <f>"王少环"</f>
        <v>王少环</v>
      </c>
      <c r="E1338" s="5" t="str">
        <f t="shared" si="145"/>
        <v>女</v>
      </c>
      <c r="F1338" s="5" t="str">
        <f t="shared" si="146"/>
        <v>汉族</v>
      </c>
    </row>
    <row r="1339" ht="30" customHeight="1" spans="1:6">
      <c r="A1339" s="5">
        <v>1337</v>
      </c>
      <c r="B1339" s="5" t="str">
        <f>"36412022010819412994036"</f>
        <v>36412022010819412994036</v>
      </c>
      <c r="C1339" s="5" t="s">
        <v>25</v>
      </c>
      <c r="D1339" s="5" t="str">
        <f>"符玉美"</f>
        <v>符玉美</v>
      </c>
      <c r="E1339" s="5" t="str">
        <f t="shared" si="145"/>
        <v>女</v>
      </c>
      <c r="F1339" s="5" t="str">
        <f t="shared" si="146"/>
        <v>汉族</v>
      </c>
    </row>
    <row r="1340" ht="30" customHeight="1" spans="1:6">
      <c r="A1340" s="5">
        <v>1338</v>
      </c>
      <c r="B1340" s="5" t="str">
        <f>"36412022010820330494138"</f>
        <v>36412022010820330494138</v>
      </c>
      <c r="C1340" s="5" t="s">
        <v>25</v>
      </c>
      <c r="D1340" s="5" t="str">
        <f>"黎兰桂"</f>
        <v>黎兰桂</v>
      </c>
      <c r="E1340" s="5" t="str">
        <f t="shared" si="145"/>
        <v>女</v>
      </c>
      <c r="F1340" s="5" t="str">
        <f t="shared" si="146"/>
        <v>汉族</v>
      </c>
    </row>
    <row r="1341" ht="30" customHeight="1" spans="1:6">
      <c r="A1341" s="5">
        <v>1339</v>
      </c>
      <c r="B1341" s="5" t="str">
        <f>"36412022010821582394316"</f>
        <v>36412022010821582394316</v>
      </c>
      <c r="C1341" s="5" t="s">
        <v>25</v>
      </c>
      <c r="D1341" s="5" t="str">
        <f>"薛秋花"</f>
        <v>薛秋花</v>
      </c>
      <c r="E1341" s="5" t="str">
        <f t="shared" si="145"/>
        <v>女</v>
      </c>
      <c r="F1341" s="5" t="str">
        <f t="shared" si="146"/>
        <v>汉族</v>
      </c>
    </row>
    <row r="1342" ht="30" customHeight="1" spans="1:6">
      <c r="A1342" s="5">
        <v>1340</v>
      </c>
      <c r="B1342" s="5" t="str">
        <f>"36412022010822042794334"</f>
        <v>36412022010822042794334</v>
      </c>
      <c r="C1342" s="5" t="s">
        <v>25</v>
      </c>
      <c r="D1342" s="5" t="str">
        <f>"黄金菊"</f>
        <v>黄金菊</v>
      </c>
      <c r="E1342" s="5" t="str">
        <f t="shared" si="145"/>
        <v>女</v>
      </c>
      <c r="F1342" s="5" t="str">
        <f t="shared" si="146"/>
        <v>汉族</v>
      </c>
    </row>
    <row r="1343" ht="30" customHeight="1" spans="1:6">
      <c r="A1343" s="5">
        <v>1341</v>
      </c>
      <c r="B1343" s="5" t="str">
        <f>"36412022010822304094382"</f>
        <v>36412022010822304094382</v>
      </c>
      <c r="C1343" s="5" t="s">
        <v>25</v>
      </c>
      <c r="D1343" s="5" t="str">
        <f>"李易龙"</f>
        <v>李易龙</v>
      </c>
      <c r="E1343" s="5" t="str">
        <f>"男"</f>
        <v>男</v>
      </c>
      <c r="F1343" s="5" t="str">
        <f t="shared" si="146"/>
        <v>汉族</v>
      </c>
    </row>
    <row r="1344" ht="30" customHeight="1" spans="1:6">
      <c r="A1344" s="5">
        <v>1342</v>
      </c>
      <c r="B1344" s="5" t="str">
        <f>"36412022010822431794403"</f>
        <v>36412022010822431794403</v>
      </c>
      <c r="C1344" s="5" t="s">
        <v>25</v>
      </c>
      <c r="D1344" s="5" t="str">
        <f>"云茹"</f>
        <v>云茹</v>
      </c>
      <c r="E1344" s="5" t="str">
        <f t="shared" ref="E1344:E1362" si="147">"女"</f>
        <v>女</v>
      </c>
      <c r="F1344" s="5" t="str">
        <f t="shared" si="146"/>
        <v>汉族</v>
      </c>
    </row>
    <row r="1345" ht="30" customHeight="1" spans="1:6">
      <c r="A1345" s="5">
        <v>1343</v>
      </c>
      <c r="B1345" s="5" t="str">
        <f>"36412022010823544994511"</f>
        <v>36412022010823544994511</v>
      </c>
      <c r="C1345" s="5" t="s">
        <v>25</v>
      </c>
      <c r="D1345" s="5" t="str">
        <f>"张宝月"</f>
        <v>张宝月</v>
      </c>
      <c r="E1345" s="5" t="str">
        <f t="shared" si="147"/>
        <v>女</v>
      </c>
      <c r="F1345" s="5" t="str">
        <f t="shared" si="146"/>
        <v>汉族</v>
      </c>
    </row>
    <row r="1346" ht="30" customHeight="1" spans="1:6">
      <c r="A1346" s="5">
        <v>1344</v>
      </c>
      <c r="B1346" s="5" t="str">
        <f>"36412022010909091894634"</f>
        <v>36412022010909091894634</v>
      </c>
      <c r="C1346" s="5" t="s">
        <v>25</v>
      </c>
      <c r="D1346" s="5" t="str">
        <f>"陈贤娃"</f>
        <v>陈贤娃</v>
      </c>
      <c r="E1346" s="5" t="str">
        <f t="shared" si="147"/>
        <v>女</v>
      </c>
      <c r="F1346" s="5" t="str">
        <f t="shared" si="146"/>
        <v>汉族</v>
      </c>
    </row>
    <row r="1347" ht="30" customHeight="1" spans="1:6">
      <c r="A1347" s="5">
        <v>1345</v>
      </c>
      <c r="B1347" s="5" t="str">
        <f>"36412022010910100894719"</f>
        <v>36412022010910100894719</v>
      </c>
      <c r="C1347" s="5" t="s">
        <v>25</v>
      </c>
      <c r="D1347" s="5" t="str">
        <f>"王赛"</f>
        <v>王赛</v>
      </c>
      <c r="E1347" s="5" t="str">
        <f t="shared" si="147"/>
        <v>女</v>
      </c>
      <c r="F1347" s="5" t="str">
        <f t="shared" si="146"/>
        <v>汉族</v>
      </c>
    </row>
    <row r="1348" ht="30" customHeight="1" spans="1:6">
      <c r="A1348" s="5">
        <v>1346</v>
      </c>
      <c r="B1348" s="5" t="str">
        <f>"36412022010910192194731"</f>
        <v>36412022010910192194731</v>
      </c>
      <c r="C1348" s="5" t="s">
        <v>25</v>
      </c>
      <c r="D1348" s="5" t="str">
        <f>"林鑫"</f>
        <v>林鑫</v>
      </c>
      <c r="E1348" s="5" t="str">
        <f t="shared" si="147"/>
        <v>女</v>
      </c>
      <c r="F1348" s="5" t="str">
        <f t="shared" si="146"/>
        <v>汉族</v>
      </c>
    </row>
    <row r="1349" ht="30" customHeight="1" spans="1:6">
      <c r="A1349" s="5">
        <v>1347</v>
      </c>
      <c r="B1349" s="5" t="str">
        <f>"36412022010910325594771"</f>
        <v>36412022010910325594771</v>
      </c>
      <c r="C1349" s="5" t="s">
        <v>25</v>
      </c>
      <c r="D1349" s="5" t="str">
        <f>"陈小短"</f>
        <v>陈小短</v>
      </c>
      <c r="E1349" s="5" t="str">
        <f t="shared" si="147"/>
        <v>女</v>
      </c>
      <c r="F1349" s="5" t="str">
        <f t="shared" si="146"/>
        <v>汉族</v>
      </c>
    </row>
    <row r="1350" ht="30" customHeight="1" spans="1:6">
      <c r="A1350" s="5">
        <v>1348</v>
      </c>
      <c r="B1350" s="5" t="str">
        <f>"36412022010911531395011"</f>
        <v>36412022010911531395011</v>
      </c>
      <c r="C1350" s="5" t="s">
        <v>25</v>
      </c>
      <c r="D1350" s="5" t="str">
        <f>"王兰"</f>
        <v>王兰</v>
      </c>
      <c r="E1350" s="5" t="str">
        <f t="shared" si="147"/>
        <v>女</v>
      </c>
      <c r="F1350" s="5" t="str">
        <f t="shared" si="146"/>
        <v>汉族</v>
      </c>
    </row>
    <row r="1351" ht="30" customHeight="1" spans="1:6">
      <c r="A1351" s="5">
        <v>1349</v>
      </c>
      <c r="B1351" s="5" t="str">
        <f>"36412022010912015295030"</f>
        <v>36412022010912015295030</v>
      </c>
      <c r="C1351" s="5" t="s">
        <v>25</v>
      </c>
      <c r="D1351" s="5" t="str">
        <f>"赵月莲"</f>
        <v>赵月莲</v>
      </c>
      <c r="E1351" s="5" t="str">
        <f t="shared" si="147"/>
        <v>女</v>
      </c>
      <c r="F1351" s="5" t="str">
        <f t="shared" si="146"/>
        <v>汉族</v>
      </c>
    </row>
    <row r="1352" ht="30" customHeight="1" spans="1:6">
      <c r="A1352" s="5">
        <v>1350</v>
      </c>
      <c r="B1352" s="5" t="str">
        <f>"36412022010912293095082"</f>
        <v>36412022010912293095082</v>
      </c>
      <c r="C1352" s="5" t="s">
        <v>25</v>
      </c>
      <c r="D1352" s="5" t="str">
        <f>"孙水莲"</f>
        <v>孙水莲</v>
      </c>
      <c r="E1352" s="5" t="str">
        <f t="shared" si="147"/>
        <v>女</v>
      </c>
      <c r="F1352" s="5" t="str">
        <f t="shared" si="146"/>
        <v>汉族</v>
      </c>
    </row>
    <row r="1353" ht="30" customHeight="1" spans="1:6">
      <c r="A1353" s="5">
        <v>1351</v>
      </c>
      <c r="B1353" s="5" t="str">
        <f>"36412022010912512195122"</f>
        <v>36412022010912512195122</v>
      </c>
      <c r="C1353" s="5" t="s">
        <v>25</v>
      </c>
      <c r="D1353" s="5" t="str">
        <f>"黎暖姣"</f>
        <v>黎暖姣</v>
      </c>
      <c r="E1353" s="5" t="str">
        <f t="shared" si="147"/>
        <v>女</v>
      </c>
      <c r="F1353" s="5" t="str">
        <f t="shared" si="146"/>
        <v>汉族</v>
      </c>
    </row>
    <row r="1354" ht="30" customHeight="1" spans="1:6">
      <c r="A1354" s="5">
        <v>1352</v>
      </c>
      <c r="B1354" s="5" t="str">
        <f>"36412022010913320695217"</f>
        <v>36412022010913320695217</v>
      </c>
      <c r="C1354" s="5" t="s">
        <v>25</v>
      </c>
      <c r="D1354" s="5" t="str">
        <f>"王丹"</f>
        <v>王丹</v>
      </c>
      <c r="E1354" s="5" t="str">
        <f t="shared" si="147"/>
        <v>女</v>
      </c>
      <c r="F1354" s="5" t="str">
        <f t="shared" si="146"/>
        <v>汉族</v>
      </c>
    </row>
    <row r="1355" ht="30" customHeight="1" spans="1:6">
      <c r="A1355" s="5">
        <v>1353</v>
      </c>
      <c r="B1355" s="5" t="str">
        <f>"36412022010913513295254"</f>
        <v>36412022010913513295254</v>
      </c>
      <c r="C1355" s="5" t="s">
        <v>25</v>
      </c>
      <c r="D1355" s="5" t="str">
        <f>"吴阿明"</f>
        <v>吴阿明</v>
      </c>
      <c r="E1355" s="5" t="str">
        <f t="shared" si="147"/>
        <v>女</v>
      </c>
      <c r="F1355" s="5" t="str">
        <f t="shared" si="146"/>
        <v>汉族</v>
      </c>
    </row>
    <row r="1356" ht="30" customHeight="1" spans="1:6">
      <c r="A1356" s="5">
        <v>1354</v>
      </c>
      <c r="B1356" s="5" t="str">
        <f>"36412022010914130795292"</f>
        <v>36412022010914130795292</v>
      </c>
      <c r="C1356" s="5" t="s">
        <v>25</v>
      </c>
      <c r="D1356" s="5" t="str">
        <f>"王绥婷"</f>
        <v>王绥婷</v>
      </c>
      <c r="E1356" s="5" t="str">
        <f t="shared" si="147"/>
        <v>女</v>
      </c>
      <c r="F1356" s="5" t="str">
        <f>"黎族"</f>
        <v>黎族</v>
      </c>
    </row>
    <row r="1357" ht="30" customHeight="1" spans="1:6">
      <c r="A1357" s="5">
        <v>1355</v>
      </c>
      <c r="B1357" s="5" t="str">
        <f>"36412022010914325395337"</f>
        <v>36412022010914325395337</v>
      </c>
      <c r="C1357" s="5" t="s">
        <v>25</v>
      </c>
      <c r="D1357" s="5" t="str">
        <f>"欧瑜珍"</f>
        <v>欧瑜珍</v>
      </c>
      <c r="E1357" s="5" t="str">
        <f t="shared" si="147"/>
        <v>女</v>
      </c>
      <c r="F1357" s="5" t="str">
        <f>"汉族"</f>
        <v>汉族</v>
      </c>
    </row>
    <row r="1358" ht="30" customHeight="1" spans="1:6">
      <c r="A1358" s="5">
        <v>1356</v>
      </c>
      <c r="B1358" s="5" t="str">
        <f>"36412022010915501795499"</f>
        <v>36412022010915501795499</v>
      </c>
      <c r="C1358" s="5" t="s">
        <v>25</v>
      </c>
      <c r="D1358" s="5" t="str">
        <f>"谢辉暖"</f>
        <v>谢辉暖</v>
      </c>
      <c r="E1358" s="5" t="str">
        <f t="shared" si="147"/>
        <v>女</v>
      </c>
      <c r="F1358" s="5" t="str">
        <f>"汉族"</f>
        <v>汉族</v>
      </c>
    </row>
    <row r="1359" ht="30" customHeight="1" spans="1:6">
      <c r="A1359" s="5">
        <v>1357</v>
      </c>
      <c r="B1359" s="5" t="str">
        <f>"36412022010916483295632"</f>
        <v>36412022010916483295632</v>
      </c>
      <c r="C1359" s="5" t="s">
        <v>25</v>
      </c>
      <c r="D1359" s="5" t="str">
        <f>"夏婵"</f>
        <v>夏婵</v>
      </c>
      <c r="E1359" s="5" t="str">
        <f t="shared" si="147"/>
        <v>女</v>
      </c>
      <c r="F1359" s="5" t="str">
        <f>"汉族"</f>
        <v>汉族</v>
      </c>
    </row>
    <row r="1360" ht="30" customHeight="1" spans="1:6">
      <c r="A1360" s="5">
        <v>1358</v>
      </c>
      <c r="B1360" s="5" t="str">
        <f>"36412022010917181795674"</f>
        <v>36412022010917181795674</v>
      </c>
      <c r="C1360" s="5" t="s">
        <v>25</v>
      </c>
      <c r="D1360" s="5" t="str">
        <f>"占达星"</f>
        <v>占达星</v>
      </c>
      <c r="E1360" s="5" t="str">
        <f t="shared" si="147"/>
        <v>女</v>
      </c>
      <c r="F1360" s="5" t="str">
        <f>"汉族"</f>
        <v>汉族</v>
      </c>
    </row>
    <row r="1361" ht="30" customHeight="1" spans="1:6">
      <c r="A1361" s="5">
        <v>1359</v>
      </c>
      <c r="B1361" s="5" t="str">
        <f>"36412022010917561295713"</f>
        <v>36412022010917561295713</v>
      </c>
      <c r="C1361" s="5" t="s">
        <v>25</v>
      </c>
      <c r="D1361" s="5" t="str">
        <f>"李颖"</f>
        <v>李颖</v>
      </c>
      <c r="E1361" s="5" t="str">
        <f t="shared" si="147"/>
        <v>女</v>
      </c>
      <c r="F1361" s="5" t="str">
        <f>"汉族"</f>
        <v>汉族</v>
      </c>
    </row>
    <row r="1362" ht="30" customHeight="1" spans="1:6">
      <c r="A1362" s="5">
        <v>1360</v>
      </c>
      <c r="B1362" s="5" t="str">
        <f>"36412022010918111295724"</f>
        <v>36412022010918111295724</v>
      </c>
      <c r="C1362" s="5" t="s">
        <v>25</v>
      </c>
      <c r="D1362" s="5" t="str">
        <f>"郑引来"</f>
        <v>郑引来</v>
      </c>
      <c r="E1362" s="5" t="str">
        <f t="shared" si="147"/>
        <v>女</v>
      </c>
      <c r="F1362" s="5" t="str">
        <f>"黎族"</f>
        <v>黎族</v>
      </c>
    </row>
    <row r="1363" ht="30" customHeight="1" spans="1:6">
      <c r="A1363" s="5">
        <v>1361</v>
      </c>
      <c r="B1363" s="5" t="str">
        <f>"36412022010918280195745"</f>
        <v>36412022010918280195745</v>
      </c>
      <c r="C1363" s="5" t="s">
        <v>25</v>
      </c>
      <c r="D1363" s="5" t="str">
        <f>"林军"</f>
        <v>林军</v>
      </c>
      <c r="E1363" s="5" t="str">
        <f>"男"</f>
        <v>男</v>
      </c>
      <c r="F1363" s="5" t="str">
        <f t="shared" ref="F1363:F1378" si="148">"汉族"</f>
        <v>汉族</v>
      </c>
    </row>
    <row r="1364" ht="30" customHeight="1" spans="1:6">
      <c r="A1364" s="5">
        <v>1362</v>
      </c>
      <c r="B1364" s="5" t="str">
        <f>"36412022010919173795798"</f>
        <v>36412022010919173795798</v>
      </c>
      <c r="C1364" s="5" t="s">
        <v>25</v>
      </c>
      <c r="D1364" s="5" t="str">
        <f>"王娜二"</f>
        <v>王娜二</v>
      </c>
      <c r="E1364" s="5" t="str">
        <f t="shared" ref="E1364:E1390" si="149">"女"</f>
        <v>女</v>
      </c>
      <c r="F1364" s="5" t="str">
        <f t="shared" si="148"/>
        <v>汉族</v>
      </c>
    </row>
    <row r="1365" ht="30" customHeight="1" spans="1:6">
      <c r="A1365" s="5">
        <v>1363</v>
      </c>
      <c r="B1365" s="5" t="str">
        <f>"36412022010920003695856"</f>
        <v>36412022010920003695856</v>
      </c>
      <c r="C1365" s="5" t="s">
        <v>25</v>
      </c>
      <c r="D1365" s="5" t="str">
        <f>"潘冬蓉"</f>
        <v>潘冬蓉</v>
      </c>
      <c r="E1365" s="5" t="str">
        <f t="shared" si="149"/>
        <v>女</v>
      </c>
      <c r="F1365" s="5" t="str">
        <f t="shared" si="148"/>
        <v>汉族</v>
      </c>
    </row>
    <row r="1366" ht="30" customHeight="1" spans="1:6">
      <c r="A1366" s="5">
        <v>1364</v>
      </c>
      <c r="B1366" s="5" t="str">
        <f>"36412022010920510495948"</f>
        <v>36412022010920510495948</v>
      </c>
      <c r="C1366" s="5" t="s">
        <v>25</v>
      </c>
      <c r="D1366" s="5" t="str">
        <f>"林蝶"</f>
        <v>林蝶</v>
      </c>
      <c r="E1366" s="5" t="str">
        <f t="shared" si="149"/>
        <v>女</v>
      </c>
      <c r="F1366" s="5" t="str">
        <f t="shared" si="148"/>
        <v>汉族</v>
      </c>
    </row>
    <row r="1367" ht="30" customHeight="1" spans="1:6">
      <c r="A1367" s="5">
        <v>1365</v>
      </c>
      <c r="B1367" s="5" t="str">
        <f>"36412022010920513395951"</f>
        <v>36412022010920513395951</v>
      </c>
      <c r="C1367" s="5" t="s">
        <v>25</v>
      </c>
      <c r="D1367" s="5" t="str">
        <f>"吴昕阳"</f>
        <v>吴昕阳</v>
      </c>
      <c r="E1367" s="5" t="str">
        <f t="shared" si="149"/>
        <v>女</v>
      </c>
      <c r="F1367" s="5" t="str">
        <f t="shared" si="148"/>
        <v>汉族</v>
      </c>
    </row>
    <row r="1368" ht="30" customHeight="1" spans="1:6">
      <c r="A1368" s="5">
        <v>1366</v>
      </c>
      <c r="B1368" s="5" t="str">
        <f>"36412022010920561495961"</f>
        <v>36412022010920561495961</v>
      </c>
      <c r="C1368" s="5" t="s">
        <v>25</v>
      </c>
      <c r="D1368" s="5" t="str">
        <f>"莫启燕"</f>
        <v>莫启燕</v>
      </c>
      <c r="E1368" s="5" t="str">
        <f t="shared" si="149"/>
        <v>女</v>
      </c>
      <c r="F1368" s="5" t="str">
        <f t="shared" si="148"/>
        <v>汉族</v>
      </c>
    </row>
    <row r="1369" ht="30" customHeight="1" spans="1:6">
      <c r="A1369" s="5">
        <v>1367</v>
      </c>
      <c r="B1369" s="5" t="str">
        <f>"36412022010921301896015"</f>
        <v>36412022010921301896015</v>
      </c>
      <c r="C1369" s="5" t="s">
        <v>25</v>
      </c>
      <c r="D1369" s="5" t="str">
        <f>"陈娟"</f>
        <v>陈娟</v>
      </c>
      <c r="E1369" s="5" t="str">
        <f t="shared" si="149"/>
        <v>女</v>
      </c>
      <c r="F1369" s="5" t="str">
        <f t="shared" si="148"/>
        <v>汉族</v>
      </c>
    </row>
    <row r="1370" ht="30" customHeight="1" spans="1:6">
      <c r="A1370" s="5">
        <v>1368</v>
      </c>
      <c r="B1370" s="5" t="str">
        <f>"36412022010921341496025"</f>
        <v>36412022010921341496025</v>
      </c>
      <c r="C1370" s="5" t="s">
        <v>25</v>
      </c>
      <c r="D1370" s="5" t="str">
        <f>"吴源洁"</f>
        <v>吴源洁</v>
      </c>
      <c r="E1370" s="5" t="str">
        <f t="shared" si="149"/>
        <v>女</v>
      </c>
      <c r="F1370" s="5" t="str">
        <f t="shared" si="148"/>
        <v>汉族</v>
      </c>
    </row>
    <row r="1371" ht="30" customHeight="1" spans="1:6">
      <c r="A1371" s="5">
        <v>1369</v>
      </c>
      <c r="B1371" s="5" t="str">
        <f>"36412022010921380296041"</f>
        <v>36412022010921380296041</v>
      </c>
      <c r="C1371" s="5" t="s">
        <v>25</v>
      </c>
      <c r="D1371" s="5" t="str">
        <f>"张春联"</f>
        <v>张春联</v>
      </c>
      <c r="E1371" s="5" t="str">
        <f t="shared" si="149"/>
        <v>女</v>
      </c>
      <c r="F1371" s="5" t="str">
        <f t="shared" si="148"/>
        <v>汉族</v>
      </c>
    </row>
    <row r="1372" ht="30" customHeight="1" spans="1:6">
      <c r="A1372" s="5">
        <v>1370</v>
      </c>
      <c r="B1372" s="5" t="str">
        <f>"36412022010921432596052"</f>
        <v>36412022010921432596052</v>
      </c>
      <c r="C1372" s="5" t="s">
        <v>25</v>
      </c>
      <c r="D1372" s="5" t="str">
        <f>"潘孝萍"</f>
        <v>潘孝萍</v>
      </c>
      <c r="E1372" s="5" t="str">
        <f t="shared" si="149"/>
        <v>女</v>
      </c>
      <c r="F1372" s="5" t="str">
        <f t="shared" si="148"/>
        <v>汉族</v>
      </c>
    </row>
    <row r="1373" ht="30" customHeight="1" spans="1:6">
      <c r="A1373" s="5">
        <v>1371</v>
      </c>
      <c r="B1373" s="5" t="str">
        <f>"36412022010921583796081"</f>
        <v>36412022010921583796081</v>
      </c>
      <c r="C1373" s="5" t="s">
        <v>25</v>
      </c>
      <c r="D1373" s="5" t="str">
        <f>"李银铃"</f>
        <v>李银铃</v>
      </c>
      <c r="E1373" s="5" t="str">
        <f t="shared" si="149"/>
        <v>女</v>
      </c>
      <c r="F1373" s="5" t="str">
        <f t="shared" si="148"/>
        <v>汉族</v>
      </c>
    </row>
    <row r="1374" ht="30" customHeight="1" spans="1:6">
      <c r="A1374" s="5">
        <v>1372</v>
      </c>
      <c r="B1374" s="5" t="str">
        <f>"36412022010923013496180"</f>
        <v>36412022010923013496180</v>
      </c>
      <c r="C1374" s="5" t="s">
        <v>25</v>
      </c>
      <c r="D1374" s="5" t="str">
        <f>"陈霏"</f>
        <v>陈霏</v>
      </c>
      <c r="E1374" s="5" t="str">
        <f t="shared" si="149"/>
        <v>女</v>
      </c>
      <c r="F1374" s="5" t="str">
        <f t="shared" si="148"/>
        <v>汉族</v>
      </c>
    </row>
    <row r="1375" ht="30" customHeight="1" spans="1:6">
      <c r="A1375" s="5">
        <v>1373</v>
      </c>
      <c r="B1375" s="5" t="str">
        <f>"36412022010923143296200"</f>
        <v>36412022010923143296200</v>
      </c>
      <c r="C1375" s="5" t="s">
        <v>25</v>
      </c>
      <c r="D1375" s="5" t="str">
        <f>"符文"</f>
        <v>符文</v>
      </c>
      <c r="E1375" s="5" t="str">
        <f t="shared" si="149"/>
        <v>女</v>
      </c>
      <c r="F1375" s="5" t="str">
        <f t="shared" si="148"/>
        <v>汉族</v>
      </c>
    </row>
    <row r="1376" ht="30" customHeight="1" spans="1:6">
      <c r="A1376" s="5">
        <v>1374</v>
      </c>
      <c r="B1376" s="5" t="str">
        <f>"36412022010923165596203"</f>
        <v>36412022010923165596203</v>
      </c>
      <c r="C1376" s="5" t="s">
        <v>25</v>
      </c>
      <c r="D1376" s="5" t="str">
        <f>"万林霞"</f>
        <v>万林霞</v>
      </c>
      <c r="E1376" s="5" t="str">
        <f t="shared" si="149"/>
        <v>女</v>
      </c>
      <c r="F1376" s="5" t="str">
        <f t="shared" si="148"/>
        <v>汉族</v>
      </c>
    </row>
    <row r="1377" ht="30" customHeight="1" spans="1:6">
      <c r="A1377" s="5">
        <v>1375</v>
      </c>
      <c r="B1377" s="5" t="str">
        <f>"36412022010923175496205"</f>
        <v>36412022010923175496205</v>
      </c>
      <c r="C1377" s="5" t="s">
        <v>25</v>
      </c>
      <c r="D1377" s="5" t="str">
        <f>"陈月维"</f>
        <v>陈月维</v>
      </c>
      <c r="E1377" s="5" t="str">
        <f t="shared" si="149"/>
        <v>女</v>
      </c>
      <c r="F1377" s="5" t="str">
        <f t="shared" si="148"/>
        <v>汉族</v>
      </c>
    </row>
    <row r="1378" ht="30" customHeight="1" spans="1:6">
      <c r="A1378" s="5">
        <v>1376</v>
      </c>
      <c r="B1378" s="5" t="str">
        <f>"36412022011007522496324"</f>
        <v>36412022011007522496324</v>
      </c>
      <c r="C1378" s="5" t="s">
        <v>25</v>
      </c>
      <c r="D1378" s="5" t="str">
        <f>"蒙燕倩"</f>
        <v>蒙燕倩</v>
      </c>
      <c r="E1378" s="5" t="str">
        <f t="shared" si="149"/>
        <v>女</v>
      </c>
      <c r="F1378" s="5" t="str">
        <f t="shared" si="148"/>
        <v>汉族</v>
      </c>
    </row>
    <row r="1379" ht="30" customHeight="1" spans="1:6">
      <c r="A1379" s="5">
        <v>1377</v>
      </c>
      <c r="B1379" s="5" t="str">
        <f>"36412022011008311296364"</f>
        <v>36412022011008311296364</v>
      </c>
      <c r="C1379" s="5" t="s">
        <v>25</v>
      </c>
      <c r="D1379" s="5" t="str">
        <f>"黄诗蕾"</f>
        <v>黄诗蕾</v>
      </c>
      <c r="E1379" s="5" t="str">
        <f t="shared" si="149"/>
        <v>女</v>
      </c>
      <c r="F1379" s="5" t="str">
        <f>"黎族"</f>
        <v>黎族</v>
      </c>
    </row>
    <row r="1380" ht="30" customHeight="1" spans="1:6">
      <c r="A1380" s="5">
        <v>1378</v>
      </c>
      <c r="B1380" s="5" t="str">
        <f>"36412022011008501896385"</f>
        <v>36412022011008501896385</v>
      </c>
      <c r="C1380" s="5" t="s">
        <v>25</v>
      </c>
      <c r="D1380" s="5" t="str">
        <f>"符翠向"</f>
        <v>符翠向</v>
      </c>
      <c r="E1380" s="5" t="str">
        <f t="shared" si="149"/>
        <v>女</v>
      </c>
      <c r="F1380" s="5" t="str">
        <f>"黎族"</f>
        <v>黎族</v>
      </c>
    </row>
    <row r="1381" ht="30" customHeight="1" spans="1:6">
      <c r="A1381" s="5">
        <v>1379</v>
      </c>
      <c r="B1381" s="5" t="str">
        <f>"36412022011008535696390"</f>
        <v>36412022011008535696390</v>
      </c>
      <c r="C1381" s="5" t="s">
        <v>25</v>
      </c>
      <c r="D1381" s="5" t="str">
        <f>"罗孟珠"</f>
        <v>罗孟珠</v>
      </c>
      <c r="E1381" s="5" t="str">
        <f t="shared" si="149"/>
        <v>女</v>
      </c>
      <c r="F1381" s="5" t="str">
        <f>"汉族"</f>
        <v>汉族</v>
      </c>
    </row>
    <row r="1382" ht="30" customHeight="1" spans="1:6">
      <c r="A1382" s="5">
        <v>1380</v>
      </c>
      <c r="B1382" s="5" t="str">
        <f>"36412022011009011096410"</f>
        <v>36412022011009011096410</v>
      </c>
      <c r="C1382" s="5" t="s">
        <v>25</v>
      </c>
      <c r="D1382" s="5" t="str">
        <f>"董采旭"</f>
        <v>董采旭</v>
      </c>
      <c r="E1382" s="5" t="str">
        <f t="shared" si="149"/>
        <v>女</v>
      </c>
      <c r="F1382" s="5" t="str">
        <f>"黎族"</f>
        <v>黎族</v>
      </c>
    </row>
    <row r="1383" ht="30" customHeight="1" spans="1:6">
      <c r="A1383" s="5">
        <v>1381</v>
      </c>
      <c r="B1383" s="5" t="str">
        <f>"36412022011009150296444"</f>
        <v>36412022011009150296444</v>
      </c>
      <c r="C1383" s="5" t="s">
        <v>25</v>
      </c>
      <c r="D1383" s="5" t="str">
        <f>"莫新嫩"</f>
        <v>莫新嫩</v>
      </c>
      <c r="E1383" s="5" t="str">
        <f t="shared" si="149"/>
        <v>女</v>
      </c>
      <c r="F1383" s="5" t="str">
        <f t="shared" ref="F1383:F1392" si="150">"汉族"</f>
        <v>汉族</v>
      </c>
    </row>
    <row r="1384" ht="30" customHeight="1" spans="1:6">
      <c r="A1384" s="5">
        <v>1382</v>
      </c>
      <c r="B1384" s="5" t="str">
        <f>"36412022011009385796514"</f>
        <v>36412022011009385796514</v>
      </c>
      <c r="C1384" s="5" t="s">
        <v>25</v>
      </c>
      <c r="D1384" s="5" t="str">
        <f>"张华"</f>
        <v>张华</v>
      </c>
      <c r="E1384" s="5" t="str">
        <f t="shared" si="149"/>
        <v>女</v>
      </c>
      <c r="F1384" s="5" t="str">
        <f t="shared" si="150"/>
        <v>汉族</v>
      </c>
    </row>
    <row r="1385" ht="30" customHeight="1" spans="1:6">
      <c r="A1385" s="5">
        <v>1383</v>
      </c>
      <c r="B1385" s="5" t="str">
        <f>"36412022011009562196578"</f>
        <v>36412022011009562196578</v>
      </c>
      <c r="C1385" s="5" t="s">
        <v>25</v>
      </c>
      <c r="D1385" s="5" t="str">
        <f>"束珊珊"</f>
        <v>束珊珊</v>
      </c>
      <c r="E1385" s="5" t="str">
        <f t="shared" si="149"/>
        <v>女</v>
      </c>
      <c r="F1385" s="5" t="str">
        <f t="shared" si="150"/>
        <v>汉族</v>
      </c>
    </row>
    <row r="1386" ht="30" customHeight="1" spans="1:6">
      <c r="A1386" s="5">
        <v>1384</v>
      </c>
      <c r="B1386" s="5" t="str">
        <f>"36412022011010034296603"</f>
        <v>36412022011010034296603</v>
      </c>
      <c r="C1386" s="5" t="s">
        <v>25</v>
      </c>
      <c r="D1386" s="5" t="str">
        <f>"李江艳"</f>
        <v>李江艳</v>
      </c>
      <c r="E1386" s="5" t="str">
        <f t="shared" si="149"/>
        <v>女</v>
      </c>
      <c r="F1386" s="5" t="str">
        <f t="shared" si="150"/>
        <v>汉族</v>
      </c>
    </row>
    <row r="1387" ht="30" customHeight="1" spans="1:6">
      <c r="A1387" s="5">
        <v>1385</v>
      </c>
      <c r="B1387" s="5" t="str">
        <f>"36412022011010043596607"</f>
        <v>36412022011010043596607</v>
      </c>
      <c r="C1387" s="5" t="s">
        <v>25</v>
      </c>
      <c r="D1387" s="5" t="str">
        <f>"张用芳"</f>
        <v>张用芳</v>
      </c>
      <c r="E1387" s="5" t="str">
        <f t="shared" si="149"/>
        <v>女</v>
      </c>
      <c r="F1387" s="5" t="str">
        <f t="shared" si="150"/>
        <v>汉族</v>
      </c>
    </row>
    <row r="1388" ht="30" customHeight="1" spans="1:6">
      <c r="A1388" s="5">
        <v>1386</v>
      </c>
      <c r="B1388" s="5" t="str">
        <f>"36412022011010100196623"</f>
        <v>36412022011010100196623</v>
      </c>
      <c r="C1388" s="5" t="s">
        <v>25</v>
      </c>
      <c r="D1388" s="5" t="str">
        <f>"郑霞霞"</f>
        <v>郑霞霞</v>
      </c>
      <c r="E1388" s="5" t="str">
        <f t="shared" si="149"/>
        <v>女</v>
      </c>
      <c r="F1388" s="5" t="str">
        <f t="shared" si="150"/>
        <v>汉族</v>
      </c>
    </row>
    <row r="1389" ht="30" customHeight="1" spans="1:6">
      <c r="A1389" s="5">
        <v>1387</v>
      </c>
      <c r="B1389" s="5" t="str">
        <f>"36412022011010134796636"</f>
        <v>36412022011010134796636</v>
      </c>
      <c r="C1389" s="5" t="s">
        <v>25</v>
      </c>
      <c r="D1389" s="5" t="str">
        <f>"钱海琼"</f>
        <v>钱海琼</v>
      </c>
      <c r="E1389" s="5" t="str">
        <f t="shared" si="149"/>
        <v>女</v>
      </c>
      <c r="F1389" s="5" t="str">
        <f t="shared" si="150"/>
        <v>汉族</v>
      </c>
    </row>
    <row r="1390" ht="30" customHeight="1" spans="1:6">
      <c r="A1390" s="5">
        <v>1388</v>
      </c>
      <c r="B1390" s="5" t="str">
        <f>"36412022011010244296671"</f>
        <v>36412022011010244296671</v>
      </c>
      <c r="C1390" s="5" t="s">
        <v>25</v>
      </c>
      <c r="D1390" s="5" t="str">
        <f>"麦汉彬"</f>
        <v>麦汉彬</v>
      </c>
      <c r="E1390" s="5" t="str">
        <f t="shared" si="149"/>
        <v>女</v>
      </c>
      <c r="F1390" s="5" t="str">
        <f t="shared" si="150"/>
        <v>汉族</v>
      </c>
    </row>
    <row r="1391" ht="30" customHeight="1" spans="1:6">
      <c r="A1391" s="5">
        <v>1389</v>
      </c>
      <c r="B1391" s="5" t="str">
        <f>"36412021123117202071127"</f>
        <v>36412021123117202071127</v>
      </c>
      <c r="C1391" s="5" t="s">
        <v>26</v>
      </c>
      <c r="D1391" s="5" t="str">
        <f>"李智博"</f>
        <v>李智博</v>
      </c>
      <c r="E1391" s="5" t="str">
        <f>"男"</f>
        <v>男</v>
      </c>
      <c r="F1391" s="5" t="str">
        <f t="shared" si="150"/>
        <v>汉族</v>
      </c>
    </row>
    <row r="1392" ht="30" customHeight="1" spans="1:6">
      <c r="A1392" s="5">
        <v>1390</v>
      </c>
      <c r="B1392" s="5" t="str">
        <f>"36412022010120193772176"</f>
        <v>36412022010120193772176</v>
      </c>
      <c r="C1392" s="5" t="s">
        <v>26</v>
      </c>
      <c r="D1392" s="5" t="str">
        <f>"高英姿"</f>
        <v>高英姿</v>
      </c>
      <c r="E1392" s="5" t="str">
        <f t="shared" ref="E1392:E1402" si="151">"女"</f>
        <v>女</v>
      </c>
      <c r="F1392" s="5" t="str">
        <f t="shared" si="150"/>
        <v>汉族</v>
      </c>
    </row>
    <row r="1393" ht="30" customHeight="1" spans="1:6">
      <c r="A1393" s="5">
        <v>1391</v>
      </c>
      <c r="B1393" s="5" t="str">
        <f>"36412022010415312679897"</f>
        <v>36412022010415312679897</v>
      </c>
      <c r="C1393" s="5" t="s">
        <v>26</v>
      </c>
      <c r="D1393" s="5" t="str">
        <f>"胡海娟"</f>
        <v>胡海娟</v>
      </c>
      <c r="E1393" s="5" t="str">
        <f t="shared" si="151"/>
        <v>女</v>
      </c>
      <c r="F1393" s="5" t="str">
        <f>"黎族"</f>
        <v>黎族</v>
      </c>
    </row>
    <row r="1394" ht="30" customHeight="1" spans="1:6">
      <c r="A1394" s="5">
        <v>1392</v>
      </c>
      <c r="B1394" s="5" t="str">
        <f>"36412022010521210886170"</f>
        <v>36412022010521210886170</v>
      </c>
      <c r="C1394" s="5" t="s">
        <v>26</v>
      </c>
      <c r="D1394" s="5" t="str">
        <f>"卓亚妹"</f>
        <v>卓亚妹</v>
      </c>
      <c r="E1394" s="5" t="str">
        <f t="shared" si="151"/>
        <v>女</v>
      </c>
      <c r="F1394" s="5" t="str">
        <f>"黎族"</f>
        <v>黎族</v>
      </c>
    </row>
    <row r="1395" ht="30" customHeight="1" spans="1:6">
      <c r="A1395" s="5">
        <v>1393</v>
      </c>
      <c r="B1395" s="5" t="str">
        <f>"36412022010614150988280"</f>
        <v>36412022010614150988280</v>
      </c>
      <c r="C1395" s="5" t="s">
        <v>26</v>
      </c>
      <c r="D1395" s="5" t="str">
        <f>"吴小莉"</f>
        <v>吴小莉</v>
      </c>
      <c r="E1395" s="5" t="str">
        <f t="shared" si="151"/>
        <v>女</v>
      </c>
      <c r="F1395" s="5" t="str">
        <f t="shared" ref="F1395:F1409" si="152">"汉族"</f>
        <v>汉族</v>
      </c>
    </row>
    <row r="1396" ht="30" customHeight="1" spans="1:6">
      <c r="A1396" s="5">
        <v>1394</v>
      </c>
      <c r="B1396" s="5" t="str">
        <f>"36412022010619121889446"</f>
        <v>36412022010619121889446</v>
      </c>
      <c r="C1396" s="5" t="s">
        <v>26</v>
      </c>
      <c r="D1396" s="5" t="str">
        <f>"陈原"</f>
        <v>陈原</v>
      </c>
      <c r="E1396" s="5" t="str">
        <f t="shared" si="151"/>
        <v>女</v>
      </c>
      <c r="F1396" s="5" t="str">
        <f t="shared" si="152"/>
        <v>汉族</v>
      </c>
    </row>
    <row r="1397" ht="30" customHeight="1" spans="1:6">
      <c r="A1397" s="5">
        <v>1395</v>
      </c>
      <c r="B1397" s="5" t="str">
        <f>"36412022010809143593136"</f>
        <v>36412022010809143593136</v>
      </c>
      <c r="C1397" s="5" t="s">
        <v>26</v>
      </c>
      <c r="D1397" s="5" t="str">
        <f>"董佳琦"</f>
        <v>董佳琦</v>
      </c>
      <c r="E1397" s="5" t="str">
        <f t="shared" si="151"/>
        <v>女</v>
      </c>
      <c r="F1397" s="5" t="str">
        <f t="shared" si="152"/>
        <v>汉族</v>
      </c>
    </row>
    <row r="1398" ht="30" customHeight="1" spans="1:6">
      <c r="A1398" s="5">
        <v>1396</v>
      </c>
      <c r="B1398" s="5" t="str">
        <f>"36412022010910432494807"</f>
        <v>36412022010910432494807</v>
      </c>
      <c r="C1398" s="5" t="s">
        <v>26</v>
      </c>
      <c r="D1398" s="5" t="str">
        <f>"廖芸菲"</f>
        <v>廖芸菲</v>
      </c>
      <c r="E1398" s="5" t="str">
        <f t="shared" si="151"/>
        <v>女</v>
      </c>
      <c r="F1398" s="5" t="str">
        <f t="shared" si="152"/>
        <v>汉族</v>
      </c>
    </row>
    <row r="1399" ht="30" customHeight="1" spans="1:6">
      <c r="A1399" s="5">
        <v>1397</v>
      </c>
      <c r="B1399" s="5" t="str">
        <f>"36412022010913143895175"</f>
        <v>36412022010913143895175</v>
      </c>
      <c r="C1399" s="5" t="s">
        <v>26</v>
      </c>
      <c r="D1399" s="5" t="str">
        <f>"吴尚书"</f>
        <v>吴尚书</v>
      </c>
      <c r="E1399" s="5" t="str">
        <f t="shared" si="151"/>
        <v>女</v>
      </c>
      <c r="F1399" s="5" t="str">
        <f t="shared" si="152"/>
        <v>汉族</v>
      </c>
    </row>
    <row r="1400" ht="30" customHeight="1" spans="1:6">
      <c r="A1400" s="5">
        <v>1398</v>
      </c>
      <c r="B1400" s="5" t="str">
        <f>"36412022011009171196451"</f>
        <v>36412022011009171196451</v>
      </c>
      <c r="C1400" s="5" t="s">
        <v>26</v>
      </c>
      <c r="D1400" s="5" t="str">
        <f>"栾帅"</f>
        <v>栾帅</v>
      </c>
      <c r="E1400" s="5" t="str">
        <f t="shared" si="151"/>
        <v>女</v>
      </c>
      <c r="F1400" s="5" t="str">
        <f t="shared" si="152"/>
        <v>汉族</v>
      </c>
    </row>
    <row r="1401" ht="30" customHeight="1" spans="1:6">
      <c r="A1401" s="5">
        <v>1399</v>
      </c>
      <c r="B1401" s="5" t="str">
        <f>"36412022010216340973009"</f>
        <v>36412022010216340973009</v>
      </c>
      <c r="C1401" s="5" t="s">
        <v>27</v>
      </c>
      <c r="D1401" s="5" t="str">
        <f>"王捷"</f>
        <v>王捷</v>
      </c>
      <c r="E1401" s="5" t="str">
        <f t="shared" si="151"/>
        <v>女</v>
      </c>
      <c r="F1401" s="5" t="str">
        <f t="shared" si="152"/>
        <v>汉族</v>
      </c>
    </row>
    <row r="1402" ht="30" customHeight="1" spans="1:6">
      <c r="A1402" s="5">
        <v>1400</v>
      </c>
      <c r="B1402" s="5" t="str">
        <f>"36412022010317400775863"</f>
        <v>36412022010317400775863</v>
      </c>
      <c r="C1402" s="5" t="s">
        <v>27</v>
      </c>
      <c r="D1402" s="5" t="str">
        <f>"符美英"</f>
        <v>符美英</v>
      </c>
      <c r="E1402" s="5" t="str">
        <f t="shared" si="151"/>
        <v>女</v>
      </c>
      <c r="F1402" s="5" t="str">
        <f t="shared" si="152"/>
        <v>汉族</v>
      </c>
    </row>
    <row r="1403" ht="30" customHeight="1" spans="1:6">
      <c r="A1403" s="5">
        <v>1401</v>
      </c>
      <c r="B1403" s="5" t="str">
        <f>"36412022010321041876508"</f>
        <v>36412022010321041876508</v>
      </c>
      <c r="C1403" s="5" t="s">
        <v>27</v>
      </c>
      <c r="D1403" s="5" t="str">
        <f>"胡程植"</f>
        <v>胡程植</v>
      </c>
      <c r="E1403" s="5" t="str">
        <f>"男"</f>
        <v>男</v>
      </c>
      <c r="F1403" s="5" t="str">
        <f t="shared" si="152"/>
        <v>汉族</v>
      </c>
    </row>
    <row r="1404" ht="30" customHeight="1" spans="1:6">
      <c r="A1404" s="5">
        <v>1402</v>
      </c>
      <c r="B1404" s="5" t="str">
        <f>"36412022010515440884708"</f>
        <v>36412022010515440884708</v>
      </c>
      <c r="C1404" s="5" t="s">
        <v>27</v>
      </c>
      <c r="D1404" s="5" t="str">
        <f>"张教嫦"</f>
        <v>张教嫦</v>
      </c>
      <c r="E1404" s="5" t="str">
        <f t="shared" ref="E1404:E1409" si="153">"女"</f>
        <v>女</v>
      </c>
      <c r="F1404" s="5" t="str">
        <f t="shared" si="152"/>
        <v>汉族</v>
      </c>
    </row>
    <row r="1405" ht="30" customHeight="1" spans="1:6">
      <c r="A1405" s="5">
        <v>1403</v>
      </c>
      <c r="B1405" s="5" t="str">
        <f>"36412022010523354786659"</f>
        <v>36412022010523354786659</v>
      </c>
      <c r="C1405" s="5" t="s">
        <v>27</v>
      </c>
      <c r="D1405" s="5" t="str">
        <f>"刘秀萍"</f>
        <v>刘秀萍</v>
      </c>
      <c r="E1405" s="5" t="str">
        <f t="shared" si="153"/>
        <v>女</v>
      </c>
      <c r="F1405" s="5" t="str">
        <f t="shared" si="152"/>
        <v>汉族</v>
      </c>
    </row>
    <row r="1406" ht="30" customHeight="1" spans="1:6">
      <c r="A1406" s="5">
        <v>1404</v>
      </c>
      <c r="B1406" s="5" t="str">
        <f>"36412022010617080689053"</f>
        <v>36412022010617080689053</v>
      </c>
      <c r="C1406" s="5" t="s">
        <v>27</v>
      </c>
      <c r="D1406" s="5" t="str">
        <f>"赵香磊"</f>
        <v>赵香磊</v>
      </c>
      <c r="E1406" s="5" t="str">
        <f t="shared" si="153"/>
        <v>女</v>
      </c>
      <c r="F1406" s="5" t="str">
        <f t="shared" si="152"/>
        <v>汉族</v>
      </c>
    </row>
    <row r="1407" ht="30" customHeight="1" spans="1:6">
      <c r="A1407" s="5">
        <v>1405</v>
      </c>
      <c r="B1407" s="5" t="str">
        <f>"36412021123110392770095"</f>
        <v>36412021123110392770095</v>
      </c>
      <c r="C1407" s="5" t="s">
        <v>28</v>
      </c>
      <c r="D1407" s="5" t="str">
        <f>"黄业娟"</f>
        <v>黄业娟</v>
      </c>
      <c r="E1407" s="5" t="str">
        <f t="shared" si="153"/>
        <v>女</v>
      </c>
      <c r="F1407" s="5" t="str">
        <f t="shared" si="152"/>
        <v>汉族</v>
      </c>
    </row>
    <row r="1408" ht="30" customHeight="1" spans="1:6">
      <c r="A1408" s="5">
        <v>1406</v>
      </c>
      <c r="B1408" s="5" t="str">
        <f>"36412021123111530170390"</f>
        <v>36412021123111530170390</v>
      </c>
      <c r="C1408" s="5" t="s">
        <v>28</v>
      </c>
      <c r="D1408" s="5" t="str">
        <f>"许娇丽"</f>
        <v>许娇丽</v>
      </c>
      <c r="E1408" s="5" t="str">
        <f t="shared" si="153"/>
        <v>女</v>
      </c>
      <c r="F1408" s="5" t="str">
        <f t="shared" si="152"/>
        <v>汉族</v>
      </c>
    </row>
    <row r="1409" ht="30" customHeight="1" spans="1:6">
      <c r="A1409" s="5">
        <v>1407</v>
      </c>
      <c r="B1409" s="5" t="str">
        <f>"36412021123114335470744"</f>
        <v>36412021123114335470744</v>
      </c>
      <c r="C1409" s="5" t="s">
        <v>28</v>
      </c>
      <c r="D1409" s="5" t="str">
        <f>"周水连"</f>
        <v>周水连</v>
      </c>
      <c r="E1409" s="5" t="str">
        <f t="shared" si="153"/>
        <v>女</v>
      </c>
      <c r="F1409" s="5" t="str">
        <f t="shared" si="152"/>
        <v>汉族</v>
      </c>
    </row>
    <row r="1410" ht="30" customHeight="1" spans="1:6">
      <c r="A1410" s="5">
        <v>1408</v>
      </c>
      <c r="B1410" s="5" t="str">
        <f>"36412021123116273971027"</f>
        <v>36412021123116273971027</v>
      </c>
      <c r="C1410" s="5" t="s">
        <v>28</v>
      </c>
      <c r="D1410" s="5" t="str">
        <f>"文宏"</f>
        <v>文宏</v>
      </c>
      <c r="E1410" s="5" t="str">
        <f>"男"</f>
        <v>男</v>
      </c>
      <c r="F1410" s="5" t="str">
        <f>"黎族"</f>
        <v>黎族</v>
      </c>
    </row>
    <row r="1411" ht="30" customHeight="1" spans="1:6">
      <c r="A1411" s="5">
        <v>1409</v>
      </c>
      <c r="B1411" s="5" t="str">
        <f>"36412021123123453371393"</f>
        <v>36412021123123453371393</v>
      </c>
      <c r="C1411" s="5" t="s">
        <v>28</v>
      </c>
      <c r="D1411" s="5" t="str">
        <f>"文秋茹"</f>
        <v>文秋茹</v>
      </c>
      <c r="E1411" s="5" t="str">
        <f>"女"</f>
        <v>女</v>
      </c>
      <c r="F1411" s="5" t="str">
        <f t="shared" ref="F1411:F1424" si="154">"汉族"</f>
        <v>汉族</v>
      </c>
    </row>
    <row r="1412" ht="30" customHeight="1" spans="1:6">
      <c r="A1412" s="5">
        <v>1410</v>
      </c>
      <c r="B1412" s="5" t="str">
        <f>"36412022010316590375728"</f>
        <v>36412022010316590375728</v>
      </c>
      <c r="C1412" s="5" t="s">
        <v>28</v>
      </c>
      <c r="D1412" s="5" t="str">
        <f>"吴培君"</f>
        <v>吴培君</v>
      </c>
      <c r="E1412" s="5" t="str">
        <f>"男"</f>
        <v>男</v>
      </c>
      <c r="F1412" s="5" t="str">
        <f t="shared" si="154"/>
        <v>汉族</v>
      </c>
    </row>
    <row r="1413" ht="30" customHeight="1" spans="1:6">
      <c r="A1413" s="5">
        <v>1411</v>
      </c>
      <c r="B1413" s="5" t="str">
        <f>"36412022010321190876554"</f>
        <v>36412022010321190876554</v>
      </c>
      <c r="C1413" s="5" t="s">
        <v>28</v>
      </c>
      <c r="D1413" s="5" t="str">
        <f>"杨井桑"</f>
        <v>杨井桑</v>
      </c>
      <c r="E1413" s="5" t="str">
        <f>"女"</f>
        <v>女</v>
      </c>
      <c r="F1413" s="5" t="str">
        <f t="shared" si="154"/>
        <v>汉族</v>
      </c>
    </row>
    <row r="1414" ht="30" customHeight="1" spans="1:6">
      <c r="A1414" s="5">
        <v>1412</v>
      </c>
      <c r="B1414" s="5" t="str">
        <f>"36412022010418105080757"</f>
        <v>36412022010418105080757</v>
      </c>
      <c r="C1414" s="5" t="s">
        <v>28</v>
      </c>
      <c r="D1414" s="5" t="str">
        <f>"刘强"</f>
        <v>刘强</v>
      </c>
      <c r="E1414" s="5" t="str">
        <f>"男"</f>
        <v>男</v>
      </c>
      <c r="F1414" s="5" t="str">
        <f t="shared" si="154"/>
        <v>汉族</v>
      </c>
    </row>
    <row r="1415" ht="30" customHeight="1" spans="1:6">
      <c r="A1415" s="5">
        <v>1413</v>
      </c>
      <c r="B1415" s="5" t="str">
        <f>"36412022010422340881973"</f>
        <v>36412022010422340881973</v>
      </c>
      <c r="C1415" s="5" t="s">
        <v>28</v>
      </c>
      <c r="D1415" s="5" t="str">
        <f>"陈盛平"</f>
        <v>陈盛平</v>
      </c>
      <c r="E1415" s="5" t="str">
        <f>"男"</f>
        <v>男</v>
      </c>
      <c r="F1415" s="5" t="str">
        <f t="shared" si="154"/>
        <v>汉族</v>
      </c>
    </row>
    <row r="1416" ht="30" customHeight="1" spans="1:6">
      <c r="A1416" s="5">
        <v>1414</v>
      </c>
      <c r="B1416" s="5" t="str">
        <f>"36412022010517075485132"</f>
        <v>36412022010517075485132</v>
      </c>
      <c r="C1416" s="5" t="s">
        <v>28</v>
      </c>
      <c r="D1416" s="5" t="str">
        <f>"郭巧玲"</f>
        <v>郭巧玲</v>
      </c>
      <c r="E1416" s="5" t="str">
        <f>"女"</f>
        <v>女</v>
      </c>
      <c r="F1416" s="5" t="str">
        <f t="shared" si="154"/>
        <v>汉族</v>
      </c>
    </row>
    <row r="1417" ht="30" customHeight="1" spans="1:6">
      <c r="A1417" s="5">
        <v>1415</v>
      </c>
      <c r="B1417" s="5" t="str">
        <f>"36412022010610271787348"</f>
        <v>36412022010610271787348</v>
      </c>
      <c r="C1417" s="5" t="s">
        <v>28</v>
      </c>
      <c r="D1417" s="5" t="str">
        <f>"苏霞"</f>
        <v>苏霞</v>
      </c>
      <c r="E1417" s="5" t="str">
        <f>"女"</f>
        <v>女</v>
      </c>
      <c r="F1417" s="5" t="str">
        <f t="shared" si="154"/>
        <v>汉族</v>
      </c>
    </row>
    <row r="1418" ht="30" customHeight="1" spans="1:6">
      <c r="A1418" s="5">
        <v>1416</v>
      </c>
      <c r="B1418" s="5" t="str">
        <f>"36412022010612261487869"</f>
        <v>36412022010612261487869</v>
      </c>
      <c r="C1418" s="5" t="s">
        <v>28</v>
      </c>
      <c r="D1418" s="5" t="str">
        <f>"万火玉"</f>
        <v>万火玉</v>
      </c>
      <c r="E1418" s="5" t="str">
        <f>"女"</f>
        <v>女</v>
      </c>
      <c r="F1418" s="5" t="str">
        <f t="shared" si="154"/>
        <v>汉族</v>
      </c>
    </row>
    <row r="1419" ht="30" customHeight="1" spans="1:6">
      <c r="A1419" s="5">
        <v>1417</v>
      </c>
      <c r="B1419" s="5" t="str">
        <f>"36412022010619400989541"</f>
        <v>36412022010619400989541</v>
      </c>
      <c r="C1419" s="5" t="s">
        <v>28</v>
      </c>
      <c r="D1419" s="5" t="str">
        <f>"薛梅岭"</f>
        <v>薛梅岭</v>
      </c>
      <c r="E1419" s="5" t="str">
        <f>"女"</f>
        <v>女</v>
      </c>
      <c r="F1419" s="5" t="str">
        <f t="shared" si="154"/>
        <v>汉族</v>
      </c>
    </row>
    <row r="1420" ht="30" customHeight="1" spans="1:6">
      <c r="A1420" s="5">
        <v>1418</v>
      </c>
      <c r="B1420" s="5" t="str">
        <f>"36412022010620391789775"</f>
        <v>36412022010620391789775</v>
      </c>
      <c r="C1420" s="5" t="s">
        <v>28</v>
      </c>
      <c r="D1420" s="5" t="str">
        <f>"姜川"</f>
        <v>姜川</v>
      </c>
      <c r="E1420" s="5" t="str">
        <f>"男"</f>
        <v>男</v>
      </c>
      <c r="F1420" s="5" t="str">
        <f t="shared" si="154"/>
        <v>汉族</v>
      </c>
    </row>
    <row r="1421" ht="30" customHeight="1" spans="1:6">
      <c r="A1421" s="5">
        <v>1419</v>
      </c>
      <c r="B1421" s="5" t="str">
        <f>"36412022010707583890496"</f>
        <v>36412022010707583890496</v>
      </c>
      <c r="C1421" s="5" t="s">
        <v>28</v>
      </c>
      <c r="D1421" s="5" t="str">
        <f>"王昌喜"</f>
        <v>王昌喜</v>
      </c>
      <c r="E1421" s="5" t="str">
        <f>"女"</f>
        <v>女</v>
      </c>
      <c r="F1421" s="5" t="str">
        <f t="shared" si="154"/>
        <v>汉族</v>
      </c>
    </row>
    <row r="1422" ht="30" customHeight="1" spans="1:6">
      <c r="A1422" s="5">
        <v>1420</v>
      </c>
      <c r="B1422" s="5" t="str">
        <f>"36412022010709523490751"</f>
        <v>36412022010709523490751</v>
      </c>
      <c r="C1422" s="5" t="s">
        <v>28</v>
      </c>
      <c r="D1422" s="5" t="str">
        <f>"何小丽"</f>
        <v>何小丽</v>
      </c>
      <c r="E1422" s="5" t="str">
        <f>"女"</f>
        <v>女</v>
      </c>
      <c r="F1422" s="5" t="str">
        <f t="shared" si="154"/>
        <v>汉族</v>
      </c>
    </row>
    <row r="1423" ht="30" customHeight="1" spans="1:6">
      <c r="A1423" s="5">
        <v>1421</v>
      </c>
      <c r="B1423" s="5" t="str">
        <f>"36412022010715431492033"</f>
        <v>36412022010715431492033</v>
      </c>
      <c r="C1423" s="5" t="s">
        <v>28</v>
      </c>
      <c r="D1423" s="5" t="str">
        <f>"王凌"</f>
        <v>王凌</v>
      </c>
      <c r="E1423" s="5" t="str">
        <f>"女"</f>
        <v>女</v>
      </c>
      <c r="F1423" s="5" t="str">
        <f t="shared" si="154"/>
        <v>汉族</v>
      </c>
    </row>
    <row r="1424" ht="30" customHeight="1" spans="1:6">
      <c r="A1424" s="5">
        <v>1422</v>
      </c>
      <c r="B1424" s="5" t="str">
        <f>"36412022011009474596543"</f>
        <v>36412022011009474596543</v>
      </c>
      <c r="C1424" s="5" t="s">
        <v>28</v>
      </c>
      <c r="D1424" s="5" t="str">
        <f>"胡莉芬"</f>
        <v>胡莉芬</v>
      </c>
      <c r="E1424" s="5" t="str">
        <f>"女"</f>
        <v>女</v>
      </c>
      <c r="F1424" s="5" t="str">
        <f t="shared" si="154"/>
        <v>汉族</v>
      </c>
    </row>
    <row r="1425" ht="30" customHeight="1" spans="1:6">
      <c r="A1425" s="5">
        <v>1423</v>
      </c>
      <c r="B1425" s="5" t="str">
        <f>"36412022011010125896632"</f>
        <v>36412022011010125896632</v>
      </c>
      <c r="C1425" s="5" t="s">
        <v>28</v>
      </c>
      <c r="D1425" s="5" t="str">
        <f>"吴啟军"</f>
        <v>吴啟军</v>
      </c>
      <c r="E1425" s="5" t="str">
        <f>"男"</f>
        <v>男</v>
      </c>
      <c r="F1425" s="5" t="str">
        <f>"黎族"</f>
        <v>黎族</v>
      </c>
    </row>
    <row r="1426" ht="30" customHeight="1" spans="1:6">
      <c r="A1426" s="5">
        <v>1424</v>
      </c>
      <c r="B1426" s="5" t="str">
        <f>"36412021123122141771354"</f>
        <v>36412021123122141771354</v>
      </c>
      <c r="C1426" s="5" t="s">
        <v>29</v>
      </c>
      <c r="D1426" s="5" t="str">
        <f>"吴健宁"</f>
        <v>吴健宁</v>
      </c>
      <c r="E1426" s="5" t="str">
        <f>"男"</f>
        <v>男</v>
      </c>
      <c r="F1426" s="5" t="str">
        <f>"汉族"</f>
        <v>汉族</v>
      </c>
    </row>
    <row r="1427" ht="30" customHeight="1" spans="1:6">
      <c r="A1427" s="5">
        <v>1425</v>
      </c>
      <c r="B1427" s="5" t="str">
        <f>"36412022010111511971666"</f>
        <v>36412022010111511971666</v>
      </c>
      <c r="C1427" s="5" t="s">
        <v>29</v>
      </c>
      <c r="D1427" s="5" t="str">
        <f>"符运松"</f>
        <v>符运松</v>
      </c>
      <c r="E1427" s="5" t="str">
        <f>"男"</f>
        <v>男</v>
      </c>
      <c r="F1427" s="5" t="str">
        <f>"黎族"</f>
        <v>黎族</v>
      </c>
    </row>
    <row r="1428" ht="30" customHeight="1" spans="1:6">
      <c r="A1428" s="5">
        <v>1426</v>
      </c>
      <c r="B1428" s="5" t="str">
        <f>"36412022010113075271759"</f>
        <v>36412022010113075271759</v>
      </c>
      <c r="C1428" s="5" t="s">
        <v>29</v>
      </c>
      <c r="D1428" s="5" t="str">
        <f>"蔡玉玲"</f>
        <v>蔡玉玲</v>
      </c>
      <c r="E1428" s="5" t="str">
        <f>"女"</f>
        <v>女</v>
      </c>
      <c r="F1428" s="5" t="str">
        <f t="shared" ref="F1428:F1434" si="155">"汉族"</f>
        <v>汉族</v>
      </c>
    </row>
    <row r="1429" ht="30" customHeight="1" spans="1:6">
      <c r="A1429" s="5">
        <v>1427</v>
      </c>
      <c r="B1429" s="5" t="str">
        <f>"36412022010408192177150"</f>
        <v>36412022010408192177150</v>
      </c>
      <c r="C1429" s="5" t="s">
        <v>29</v>
      </c>
      <c r="D1429" s="5" t="str">
        <f>"吴彬"</f>
        <v>吴彬</v>
      </c>
      <c r="E1429" s="5" t="str">
        <f>"男"</f>
        <v>男</v>
      </c>
      <c r="F1429" s="5" t="str">
        <f t="shared" si="155"/>
        <v>汉族</v>
      </c>
    </row>
    <row r="1430" ht="30" customHeight="1" spans="1:6">
      <c r="A1430" s="5">
        <v>1428</v>
      </c>
      <c r="B1430" s="5" t="str">
        <f>"36412022010421454481780"</f>
        <v>36412022010421454481780</v>
      </c>
      <c r="C1430" s="5" t="s">
        <v>29</v>
      </c>
      <c r="D1430" s="5" t="str">
        <f>"郑春颜"</f>
        <v>郑春颜</v>
      </c>
      <c r="E1430" s="5" t="str">
        <f t="shared" ref="E1430:E1441" si="156">"女"</f>
        <v>女</v>
      </c>
      <c r="F1430" s="5" t="str">
        <f t="shared" si="155"/>
        <v>汉族</v>
      </c>
    </row>
    <row r="1431" ht="30" customHeight="1" spans="1:6">
      <c r="A1431" s="5">
        <v>1429</v>
      </c>
      <c r="B1431" s="5" t="str">
        <f>"36412022010422283681947"</f>
        <v>36412022010422283681947</v>
      </c>
      <c r="C1431" s="5" t="s">
        <v>29</v>
      </c>
      <c r="D1431" s="5" t="str">
        <f>"麦银芳"</f>
        <v>麦银芳</v>
      </c>
      <c r="E1431" s="5" t="str">
        <f t="shared" si="156"/>
        <v>女</v>
      </c>
      <c r="F1431" s="5" t="str">
        <f t="shared" si="155"/>
        <v>汉族</v>
      </c>
    </row>
    <row r="1432" ht="30" customHeight="1" spans="1:6">
      <c r="A1432" s="5">
        <v>1430</v>
      </c>
      <c r="B1432" s="5" t="str">
        <f>"36412022010422493582030"</f>
        <v>36412022010422493582030</v>
      </c>
      <c r="C1432" s="5" t="s">
        <v>29</v>
      </c>
      <c r="D1432" s="5" t="str">
        <f>"曾月香"</f>
        <v>曾月香</v>
      </c>
      <c r="E1432" s="5" t="str">
        <f t="shared" si="156"/>
        <v>女</v>
      </c>
      <c r="F1432" s="5" t="str">
        <f t="shared" si="155"/>
        <v>汉族</v>
      </c>
    </row>
    <row r="1433" ht="30" customHeight="1" spans="1:6">
      <c r="A1433" s="5">
        <v>1431</v>
      </c>
      <c r="B1433" s="5" t="str">
        <f>"36412022010617335189150"</f>
        <v>36412022010617335189150</v>
      </c>
      <c r="C1433" s="5" t="s">
        <v>29</v>
      </c>
      <c r="D1433" s="5" t="str">
        <f>"梁月英"</f>
        <v>梁月英</v>
      </c>
      <c r="E1433" s="5" t="str">
        <f t="shared" si="156"/>
        <v>女</v>
      </c>
      <c r="F1433" s="5" t="str">
        <f t="shared" si="155"/>
        <v>汉族</v>
      </c>
    </row>
    <row r="1434" ht="30" customHeight="1" spans="1:6">
      <c r="A1434" s="5">
        <v>1432</v>
      </c>
      <c r="B1434" s="5" t="str">
        <f>"36412022010710173790846"</f>
        <v>36412022010710173790846</v>
      </c>
      <c r="C1434" s="5" t="s">
        <v>29</v>
      </c>
      <c r="D1434" s="5" t="str">
        <f>"粟静雯"</f>
        <v>粟静雯</v>
      </c>
      <c r="E1434" s="5" t="str">
        <f t="shared" si="156"/>
        <v>女</v>
      </c>
      <c r="F1434" s="5" t="str">
        <f t="shared" si="155"/>
        <v>汉族</v>
      </c>
    </row>
    <row r="1435" ht="30" customHeight="1" spans="1:6">
      <c r="A1435" s="5">
        <v>1433</v>
      </c>
      <c r="B1435" s="5" t="str">
        <f>"36412022011010145296640"</f>
        <v>36412022011010145296640</v>
      </c>
      <c r="C1435" s="5" t="s">
        <v>29</v>
      </c>
      <c r="D1435" s="5" t="str">
        <f>"杨莉坤"</f>
        <v>杨莉坤</v>
      </c>
      <c r="E1435" s="5" t="str">
        <f t="shared" si="156"/>
        <v>女</v>
      </c>
      <c r="F1435" s="5" t="str">
        <f>"黎族"</f>
        <v>黎族</v>
      </c>
    </row>
    <row r="1436" ht="30" customHeight="1" spans="1:6">
      <c r="A1436" s="5">
        <v>1434</v>
      </c>
      <c r="B1436" s="5" t="str">
        <f>"36412021123112082870419"</f>
        <v>36412021123112082870419</v>
      </c>
      <c r="C1436" s="5" t="s">
        <v>30</v>
      </c>
      <c r="D1436" s="5" t="str">
        <f>"王鑫"</f>
        <v>王鑫</v>
      </c>
      <c r="E1436" s="5" t="str">
        <f t="shared" si="156"/>
        <v>女</v>
      </c>
      <c r="F1436" s="5" t="str">
        <f t="shared" ref="F1436:F1445" si="157">"汉族"</f>
        <v>汉族</v>
      </c>
    </row>
    <row r="1437" ht="30" customHeight="1" spans="1:6">
      <c r="A1437" s="5">
        <v>1435</v>
      </c>
      <c r="B1437" s="5" t="str">
        <f>"36412021123116441371063"</f>
        <v>36412021123116441371063</v>
      </c>
      <c r="C1437" s="5" t="s">
        <v>30</v>
      </c>
      <c r="D1437" s="5" t="str">
        <f>"朱敏"</f>
        <v>朱敏</v>
      </c>
      <c r="E1437" s="5" t="str">
        <f t="shared" si="156"/>
        <v>女</v>
      </c>
      <c r="F1437" s="5" t="str">
        <f t="shared" si="157"/>
        <v>汉族</v>
      </c>
    </row>
    <row r="1438" ht="30" customHeight="1" spans="1:6">
      <c r="A1438" s="5">
        <v>1436</v>
      </c>
      <c r="B1438" s="5" t="str">
        <f>"36412022010116213171965"</f>
        <v>36412022010116213171965</v>
      </c>
      <c r="C1438" s="5" t="s">
        <v>30</v>
      </c>
      <c r="D1438" s="5" t="str">
        <f>"庄垣秀"</f>
        <v>庄垣秀</v>
      </c>
      <c r="E1438" s="5" t="str">
        <f t="shared" si="156"/>
        <v>女</v>
      </c>
      <c r="F1438" s="5" t="str">
        <f t="shared" si="157"/>
        <v>汉族</v>
      </c>
    </row>
    <row r="1439" ht="30" customHeight="1" spans="1:6">
      <c r="A1439" s="5">
        <v>1437</v>
      </c>
      <c r="B1439" s="5" t="str">
        <f>"36412022010310213374051"</f>
        <v>36412022010310213374051</v>
      </c>
      <c r="C1439" s="5" t="s">
        <v>30</v>
      </c>
      <c r="D1439" s="5" t="str">
        <f>"符慧接"</f>
        <v>符慧接</v>
      </c>
      <c r="E1439" s="5" t="str">
        <f t="shared" si="156"/>
        <v>女</v>
      </c>
      <c r="F1439" s="5" t="str">
        <f t="shared" si="157"/>
        <v>汉族</v>
      </c>
    </row>
    <row r="1440" ht="30" customHeight="1" spans="1:6">
      <c r="A1440" s="5">
        <v>1438</v>
      </c>
      <c r="B1440" s="5" t="str">
        <f>"36412022010310413374176"</f>
        <v>36412022010310413374176</v>
      </c>
      <c r="C1440" s="5" t="s">
        <v>30</v>
      </c>
      <c r="D1440" s="5" t="str">
        <f>"杨秀坤"</f>
        <v>杨秀坤</v>
      </c>
      <c r="E1440" s="5" t="str">
        <f t="shared" si="156"/>
        <v>女</v>
      </c>
      <c r="F1440" s="5" t="str">
        <f t="shared" si="157"/>
        <v>汉族</v>
      </c>
    </row>
    <row r="1441" ht="30" customHeight="1" spans="1:6">
      <c r="A1441" s="5">
        <v>1439</v>
      </c>
      <c r="B1441" s="5" t="str">
        <f>"36412022010410373378243"</f>
        <v>36412022010410373378243</v>
      </c>
      <c r="C1441" s="5" t="s">
        <v>30</v>
      </c>
      <c r="D1441" s="5" t="str">
        <f>"符秋丽"</f>
        <v>符秋丽</v>
      </c>
      <c r="E1441" s="5" t="str">
        <f t="shared" si="156"/>
        <v>女</v>
      </c>
      <c r="F1441" s="5" t="str">
        <f t="shared" si="157"/>
        <v>汉族</v>
      </c>
    </row>
    <row r="1442" ht="30" customHeight="1" spans="1:6">
      <c r="A1442" s="5">
        <v>1440</v>
      </c>
      <c r="B1442" s="5" t="str">
        <f>"36412022010412290279019"</f>
        <v>36412022010412290279019</v>
      </c>
      <c r="C1442" s="5" t="s">
        <v>30</v>
      </c>
      <c r="D1442" s="5" t="str">
        <f>"曾令嘉"</f>
        <v>曾令嘉</v>
      </c>
      <c r="E1442" s="5" t="str">
        <f>"男"</f>
        <v>男</v>
      </c>
      <c r="F1442" s="5" t="str">
        <f t="shared" si="157"/>
        <v>汉族</v>
      </c>
    </row>
    <row r="1443" ht="30" customHeight="1" spans="1:6">
      <c r="A1443" s="5">
        <v>1441</v>
      </c>
      <c r="B1443" s="5" t="str">
        <f>"36412022010512203183691"</f>
        <v>36412022010512203183691</v>
      </c>
      <c r="C1443" s="5" t="s">
        <v>30</v>
      </c>
      <c r="D1443" s="5" t="str">
        <f>"曾锋"</f>
        <v>曾锋</v>
      </c>
      <c r="E1443" s="5" t="str">
        <f>"男"</f>
        <v>男</v>
      </c>
      <c r="F1443" s="5" t="str">
        <f t="shared" si="157"/>
        <v>汉族</v>
      </c>
    </row>
    <row r="1444" ht="30" customHeight="1" spans="1:6">
      <c r="A1444" s="5">
        <v>1442</v>
      </c>
      <c r="B1444" s="5" t="str">
        <f>"36412022010710135090825"</f>
        <v>36412022010710135090825</v>
      </c>
      <c r="C1444" s="5" t="s">
        <v>30</v>
      </c>
      <c r="D1444" s="5" t="str">
        <f>"张新干"</f>
        <v>张新干</v>
      </c>
      <c r="E1444" s="5" t="str">
        <f>"男"</f>
        <v>男</v>
      </c>
      <c r="F1444" s="5" t="str">
        <f t="shared" si="157"/>
        <v>汉族</v>
      </c>
    </row>
    <row r="1445" ht="30" customHeight="1" spans="1:6">
      <c r="A1445" s="5">
        <v>1443</v>
      </c>
      <c r="B1445" s="5" t="str">
        <f>"36412022010823151294464"</f>
        <v>36412022010823151294464</v>
      </c>
      <c r="C1445" s="5" t="s">
        <v>30</v>
      </c>
      <c r="D1445" s="5" t="str">
        <f>"苏元丽"</f>
        <v>苏元丽</v>
      </c>
      <c r="E1445" s="5" t="str">
        <f>"女"</f>
        <v>女</v>
      </c>
      <c r="F1445" s="5" t="str">
        <f t="shared" si="157"/>
        <v>汉族</v>
      </c>
    </row>
    <row r="1446" ht="30" customHeight="1" spans="1:6">
      <c r="A1446" s="5">
        <v>1444</v>
      </c>
      <c r="B1446" s="5" t="str">
        <f>"36412022010909335594665"</f>
        <v>36412022010909335594665</v>
      </c>
      <c r="C1446" s="5" t="s">
        <v>30</v>
      </c>
      <c r="D1446" s="5" t="str">
        <f>"罗振彪"</f>
        <v>罗振彪</v>
      </c>
      <c r="E1446" s="5" t="str">
        <f>"男"</f>
        <v>男</v>
      </c>
      <c r="F1446" s="5" t="str">
        <f>"黎族"</f>
        <v>黎族</v>
      </c>
    </row>
    <row r="1447" ht="30" customHeight="1" spans="1:6">
      <c r="A1447" s="5">
        <v>1445</v>
      </c>
      <c r="B1447" s="5" t="str">
        <f>"36412022010915315795456"</f>
        <v>36412022010915315795456</v>
      </c>
      <c r="C1447" s="5" t="s">
        <v>30</v>
      </c>
      <c r="D1447" s="5" t="str">
        <f>"曾舜文"</f>
        <v>曾舜文</v>
      </c>
      <c r="E1447" s="5" t="str">
        <f>"男"</f>
        <v>男</v>
      </c>
      <c r="F1447" s="5" t="str">
        <f>"汉族"</f>
        <v>汉族</v>
      </c>
    </row>
    <row r="1448" ht="30" customHeight="1" spans="1:6">
      <c r="A1448" s="5">
        <v>1446</v>
      </c>
      <c r="B1448" s="5" t="str">
        <f>"36412021123109113669695"</f>
        <v>36412021123109113669695</v>
      </c>
      <c r="C1448" s="5" t="s">
        <v>31</v>
      </c>
      <c r="D1448" s="5" t="str">
        <f>"洪振淳"</f>
        <v>洪振淳</v>
      </c>
      <c r="E1448" s="5" t="str">
        <f t="shared" ref="E1448:E1454" si="158">"女"</f>
        <v>女</v>
      </c>
      <c r="F1448" s="5" t="str">
        <f>"汉族"</f>
        <v>汉族</v>
      </c>
    </row>
    <row r="1449" ht="30" customHeight="1" spans="1:6">
      <c r="A1449" s="5">
        <v>1447</v>
      </c>
      <c r="B1449" s="5" t="str">
        <f>"36412021123109151769712"</f>
        <v>36412021123109151769712</v>
      </c>
      <c r="C1449" s="5" t="s">
        <v>31</v>
      </c>
      <c r="D1449" s="5" t="str">
        <f>"符冠蝶"</f>
        <v>符冠蝶</v>
      </c>
      <c r="E1449" s="5" t="str">
        <f t="shared" si="158"/>
        <v>女</v>
      </c>
      <c r="F1449" s="5" t="str">
        <f>"黎族"</f>
        <v>黎族</v>
      </c>
    </row>
    <row r="1450" ht="30" customHeight="1" spans="1:6">
      <c r="A1450" s="5">
        <v>1448</v>
      </c>
      <c r="B1450" s="5" t="str">
        <f>"36412021123114071270677"</f>
        <v>36412021123114071270677</v>
      </c>
      <c r="C1450" s="5" t="s">
        <v>31</v>
      </c>
      <c r="D1450" s="5" t="str">
        <f>"文昌婷"</f>
        <v>文昌婷</v>
      </c>
      <c r="E1450" s="5" t="str">
        <f t="shared" si="158"/>
        <v>女</v>
      </c>
      <c r="F1450" s="5" t="str">
        <f>"汉族"</f>
        <v>汉族</v>
      </c>
    </row>
    <row r="1451" ht="30" customHeight="1" spans="1:6">
      <c r="A1451" s="5">
        <v>1449</v>
      </c>
      <c r="B1451" s="5" t="str">
        <f>"36412021123117003871094"</f>
        <v>36412021123117003871094</v>
      </c>
      <c r="C1451" s="5" t="s">
        <v>31</v>
      </c>
      <c r="D1451" s="5" t="str">
        <f>"张珍紫"</f>
        <v>张珍紫</v>
      </c>
      <c r="E1451" s="5" t="str">
        <f t="shared" si="158"/>
        <v>女</v>
      </c>
      <c r="F1451" s="5" t="str">
        <f>"黎族"</f>
        <v>黎族</v>
      </c>
    </row>
    <row r="1452" ht="30" customHeight="1" spans="1:6">
      <c r="A1452" s="5">
        <v>1450</v>
      </c>
      <c r="B1452" s="5" t="str">
        <f>"36412021123120450371289"</f>
        <v>36412021123120450371289</v>
      </c>
      <c r="C1452" s="5" t="s">
        <v>31</v>
      </c>
      <c r="D1452" s="5" t="str">
        <f>"万碧娥"</f>
        <v>万碧娥</v>
      </c>
      <c r="E1452" s="5" t="str">
        <f t="shared" si="158"/>
        <v>女</v>
      </c>
      <c r="F1452" s="5" t="str">
        <f>"汉族"</f>
        <v>汉族</v>
      </c>
    </row>
    <row r="1453" ht="30" customHeight="1" spans="1:6">
      <c r="A1453" s="5">
        <v>1451</v>
      </c>
      <c r="B1453" s="5" t="str">
        <f>"36412021123120554771299"</f>
        <v>36412021123120554771299</v>
      </c>
      <c r="C1453" s="5" t="s">
        <v>31</v>
      </c>
      <c r="D1453" s="5" t="str">
        <f>"王晓菊"</f>
        <v>王晓菊</v>
      </c>
      <c r="E1453" s="5" t="str">
        <f t="shared" si="158"/>
        <v>女</v>
      </c>
      <c r="F1453" s="5" t="str">
        <f>"汉族"</f>
        <v>汉族</v>
      </c>
    </row>
    <row r="1454" ht="30" customHeight="1" spans="1:6">
      <c r="A1454" s="5">
        <v>1452</v>
      </c>
      <c r="B1454" s="5" t="str">
        <f>"36412022010109391571501"</f>
        <v>36412022010109391571501</v>
      </c>
      <c r="C1454" s="5" t="s">
        <v>31</v>
      </c>
      <c r="D1454" s="5" t="str">
        <f>"曾燕"</f>
        <v>曾燕</v>
      </c>
      <c r="E1454" s="5" t="str">
        <f t="shared" si="158"/>
        <v>女</v>
      </c>
      <c r="F1454" s="5" t="str">
        <f>"汉族"</f>
        <v>汉族</v>
      </c>
    </row>
    <row r="1455" ht="30" customHeight="1" spans="1:6">
      <c r="A1455" s="5">
        <v>1453</v>
      </c>
      <c r="B1455" s="5" t="str">
        <f>"36412022010111533171669"</f>
        <v>36412022010111533171669</v>
      </c>
      <c r="C1455" s="5" t="s">
        <v>31</v>
      </c>
      <c r="D1455" s="5" t="str">
        <f>"刘家伟"</f>
        <v>刘家伟</v>
      </c>
      <c r="E1455" s="5" t="str">
        <f>"男"</f>
        <v>男</v>
      </c>
      <c r="F1455" s="5" t="str">
        <f>"黎族"</f>
        <v>黎族</v>
      </c>
    </row>
    <row r="1456" ht="30" customHeight="1" spans="1:6">
      <c r="A1456" s="5">
        <v>1454</v>
      </c>
      <c r="B1456" s="5" t="str">
        <f>"36412022010113200771778"</f>
        <v>36412022010113200771778</v>
      </c>
      <c r="C1456" s="5" t="s">
        <v>31</v>
      </c>
      <c r="D1456" s="5" t="str">
        <f>"林小娜"</f>
        <v>林小娜</v>
      </c>
      <c r="E1456" s="5" t="str">
        <f>"女"</f>
        <v>女</v>
      </c>
      <c r="F1456" s="5" t="str">
        <f t="shared" ref="F1456:F1464" si="159">"汉族"</f>
        <v>汉族</v>
      </c>
    </row>
    <row r="1457" ht="30" customHeight="1" spans="1:6">
      <c r="A1457" s="5">
        <v>1455</v>
      </c>
      <c r="B1457" s="5" t="str">
        <f>"36412022010213221772779"</f>
        <v>36412022010213221772779</v>
      </c>
      <c r="C1457" s="5" t="s">
        <v>31</v>
      </c>
      <c r="D1457" s="5" t="str">
        <f>"邓婉靖"</f>
        <v>邓婉靖</v>
      </c>
      <c r="E1457" s="5" t="str">
        <f>"女"</f>
        <v>女</v>
      </c>
      <c r="F1457" s="5" t="str">
        <f t="shared" si="159"/>
        <v>汉族</v>
      </c>
    </row>
    <row r="1458" ht="30" customHeight="1" spans="1:6">
      <c r="A1458" s="5">
        <v>1456</v>
      </c>
      <c r="B1458" s="5" t="str">
        <f>"36412022010218125673107"</f>
        <v>36412022010218125673107</v>
      </c>
      <c r="C1458" s="5" t="s">
        <v>31</v>
      </c>
      <c r="D1458" s="5" t="str">
        <f>"蔡婵"</f>
        <v>蔡婵</v>
      </c>
      <c r="E1458" s="5" t="str">
        <f>"女"</f>
        <v>女</v>
      </c>
      <c r="F1458" s="5" t="str">
        <f t="shared" si="159"/>
        <v>汉族</v>
      </c>
    </row>
    <row r="1459" ht="30" customHeight="1" spans="1:6">
      <c r="A1459" s="5">
        <v>1457</v>
      </c>
      <c r="B1459" s="5" t="str">
        <f>"36412022010300304873451"</f>
        <v>36412022010300304873451</v>
      </c>
      <c r="C1459" s="5" t="s">
        <v>31</v>
      </c>
      <c r="D1459" s="5" t="str">
        <f>"赵坤相"</f>
        <v>赵坤相</v>
      </c>
      <c r="E1459" s="5" t="str">
        <f>"女"</f>
        <v>女</v>
      </c>
      <c r="F1459" s="5" t="str">
        <f t="shared" si="159"/>
        <v>汉族</v>
      </c>
    </row>
    <row r="1460" ht="30" customHeight="1" spans="1:6">
      <c r="A1460" s="5">
        <v>1458</v>
      </c>
      <c r="B1460" s="5" t="str">
        <f>"36412022010313355075005"</f>
        <v>36412022010313355075005</v>
      </c>
      <c r="C1460" s="5" t="s">
        <v>31</v>
      </c>
      <c r="D1460" s="5" t="str">
        <f>"黎焕堂"</f>
        <v>黎焕堂</v>
      </c>
      <c r="E1460" s="5" t="str">
        <f>"男"</f>
        <v>男</v>
      </c>
      <c r="F1460" s="5" t="str">
        <f t="shared" si="159"/>
        <v>汉族</v>
      </c>
    </row>
    <row r="1461" ht="30" customHeight="1" spans="1:6">
      <c r="A1461" s="5">
        <v>1459</v>
      </c>
      <c r="B1461" s="5" t="str">
        <f>"36412022010409432577745"</f>
        <v>36412022010409432577745</v>
      </c>
      <c r="C1461" s="5" t="s">
        <v>31</v>
      </c>
      <c r="D1461" s="5" t="str">
        <f>"程丽月"</f>
        <v>程丽月</v>
      </c>
      <c r="E1461" s="5" t="str">
        <f t="shared" ref="E1461:E1488" si="160">"女"</f>
        <v>女</v>
      </c>
      <c r="F1461" s="5" t="str">
        <f t="shared" si="159"/>
        <v>汉族</v>
      </c>
    </row>
    <row r="1462" ht="30" customHeight="1" spans="1:6">
      <c r="A1462" s="5">
        <v>1460</v>
      </c>
      <c r="B1462" s="5" t="str">
        <f>"36412022010410560378398"</f>
        <v>36412022010410560378398</v>
      </c>
      <c r="C1462" s="5" t="s">
        <v>31</v>
      </c>
      <c r="D1462" s="5" t="str">
        <f>"郑冬容"</f>
        <v>郑冬容</v>
      </c>
      <c r="E1462" s="5" t="str">
        <f t="shared" si="160"/>
        <v>女</v>
      </c>
      <c r="F1462" s="5" t="str">
        <f t="shared" si="159"/>
        <v>汉族</v>
      </c>
    </row>
    <row r="1463" ht="30" customHeight="1" spans="1:6">
      <c r="A1463" s="5">
        <v>1461</v>
      </c>
      <c r="B1463" s="5" t="str">
        <f>"36412022010411000178438"</f>
        <v>36412022010411000178438</v>
      </c>
      <c r="C1463" s="5" t="s">
        <v>31</v>
      </c>
      <c r="D1463" s="5" t="str">
        <f>"陈有娓"</f>
        <v>陈有娓</v>
      </c>
      <c r="E1463" s="5" t="str">
        <f t="shared" si="160"/>
        <v>女</v>
      </c>
      <c r="F1463" s="5" t="str">
        <f t="shared" si="159"/>
        <v>汉族</v>
      </c>
    </row>
    <row r="1464" ht="30" customHeight="1" spans="1:6">
      <c r="A1464" s="5">
        <v>1462</v>
      </c>
      <c r="B1464" s="5" t="str">
        <f>"36412022010411273878677"</f>
        <v>36412022010411273878677</v>
      </c>
      <c r="C1464" s="5" t="s">
        <v>31</v>
      </c>
      <c r="D1464" s="5" t="str">
        <f>"陈婷婷"</f>
        <v>陈婷婷</v>
      </c>
      <c r="E1464" s="5" t="str">
        <f t="shared" si="160"/>
        <v>女</v>
      </c>
      <c r="F1464" s="5" t="str">
        <f t="shared" si="159"/>
        <v>汉族</v>
      </c>
    </row>
    <row r="1465" ht="30" customHeight="1" spans="1:6">
      <c r="A1465" s="5">
        <v>1463</v>
      </c>
      <c r="B1465" s="5" t="str">
        <f>"36412022010411363478746"</f>
        <v>36412022010411363478746</v>
      </c>
      <c r="C1465" s="5" t="s">
        <v>31</v>
      </c>
      <c r="D1465" s="5" t="str">
        <f>"李菲"</f>
        <v>李菲</v>
      </c>
      <c r="E1465" s="5" t="str">
        <f t="shared" si="160"/>
        <v>女</v>
      </c>
      <c r="F1465" s="5" t="str">
        <f>"壮族"</f>
        <v>壮族</v>
      </c>
    </row>
    <row r="1466" ht="30" customHeight="1" spans="1:6">
      <c r="A1466" s="5">
        <v>1464</v>
      </c>
      <c r="B1466" s="5" t="str">
        <f>"36412022010413110179227"</f>
        <v>36412022010413110179227</v>
      </c>
      <c r="C1466" s="5" t="s">
        <v>31</v>
      </c>
      <c r="D1466" s="5" t="str">
        <f>"林华影"</f>
        <v>林华影</v>
      </c>
      <c r="E1466" s="5" t="str">
        <f t="shared" si="160"/>
        <v>女</v>
      </c>
      <c r="F1466" s="5" t="str">
        <f>"汉族"</f>
        <v>汉族</v>
      </c>
    </row>
    <row r="1467" ht="30" customHeight="1" spans="1:6">
      <c r="A1467" s="5">
        <v>1465</v>
      </c>
      <c r="B1467" s="5" t="str">
        <f>"36412022010417244980559"</f>
        <v>36412022010417244980559</v>
      </c>
      <c r="C1467" s="5" t="s">
        <v>31</v>
      </c>
      <c r="D1467" s="5" t="str">
        <f>"王少葵"</f>
        <v>王少葵</v>
      </c>
      <c r="E1467" s="5" t="str">
        <f t="shared" si="160"/>
        <v>女</v>
      </c>
      <c r="F1467" s="5" t="str">
        <f>"黎族"</f>
        <v>黎族</v>
      </c>
    </row>
    <row r="1468" ht="30" customHeight="1" spans="1:6">
      <c r="A1468" s="5">
        <v>1466</v>
      </c>
      <c r="B1468" s="5" t="str">
        <f>"36412022010418244180821"</f>
        <v>36412022010418244180821</v>
      </c>
      <c r="C1468" s="5" t="s">
        <v>31</v>
      </c>
      <c r="D1468" s="5" t="str">
        <f>"陈盛兰"</f>
        <v>陈盛兰</v>
      </c>
      <c r="E1468" s="5" t="str">
        <f t="shared" si="160"/>
        <v>女</v>
      </c>
      <c r="F1468" s="5" t="str">
        <f t="shared" ref="F1468:F1474" si="161">"汉族"</f>
        <v>汉族</v>
      </c>
    </row>
    <row r="1469" ht="30" customHeight="1" spans="1:6">
      <c r="A1469" s="5">
        <v>1467</v>
      </c>
      <c r="B1469" s="5" t="str">
        <f>"36412022010509410082721"</f>
        <v>36412022010509410082721</v>
      </c>
      <c r="C1469" s="5" t="s">
        <v>31</v>
      </c>
      <c r="D1469" s="5" t="str">
        <f>"羊家风"</f>
        <v>羊家风</v>
      </c>
      <c r="E1469" s="5" t="str">
        <f t="shared" si="160"/>
        <v>女</v>
      </c>
      <c r="F1469" s="5" t="str">
        <f t="shared" si="161"/>
        <v>汉族</v>
      </c>
    </row>
    <row r="1470" ht="30" customHeight="1" spans="1:6">
      <c r="A1470" s="5">
        <v>1468</v>
      </c>
      <c r="B1470" s="5" t="str">
        <f>"36412022010515252684582"</f>
        <v>36412022010515252684582</v>
      </c>
      <c r="C1470" s="5" t="s">
        <v>31</v>
      </c>
      <c r="D1470" s="5" t="str">
        <f>"吴梅秋"</f>
        <v>吴梅秋</v>
      </c>
      <c r="E1470" s="5" t="str">
        <f t="shared" si="160"/>
        <v>女</v>
      </c>
      <c r="F1470" s="5" t="str">
        <f t="shared" si="161"/>
        <v>汉族</v>
      </c>
    </row>
    <row r="1471" ht="30" customHeight="1" spans="1:6">
      <c r="A1471" s="5">
        <v>1469</v>
      </c>
      <c r="B1471" s="5" t="str">
        <f>"36412022010516042584810"</f>
        <v>36412022010516042584810</v>
      </c>
      <c r="C1471" s="5" t="s">
        <v>31</v>
      </c>
      <c r="D1471" s="5" t="str">
        <f>"张琪静"</f>
        <v>张琪静</v>
      </c>
      <c r="E1471" s="5" t="str">
        <f t="shared" si="160"/>
        <v>女</v>
      </c>
      <c r="F1471" s="5" t="str">
        <f t="shared" si="161"/>
        <v>汉族</v>
      </c>
    </row>
    <row r="1472" ht="30" customHeight="1" spans="1:6">
      <c r="A1472" s="5">
        <v>1470</v>
      </c>
      <c r="B1472" s="5" t="str">
        <f>"36412022010519025485561"</f>
        <v>36412022010519025485561</v>
      </c>
      <c r="C1472" s="5" t="s">
        <v>31</v>
      </c>
      <c r="D1472" s="5" t="str">
        <f>"张小慧"</f>
        <v>张小慧</v>
      </c>
      <c r="E1472" s="5" t="str">
        <f t="shared" si="160"/>
        <v>女</v>
      </c>
      <c r="F1472" s="5" t="str">
        <f t="shared" si="161"/>
        <v>汉族</v>
      </c>
    </row>
    <row r="1473" ht="30" customHeight="1" spans="1:6">
      <c r="A1473" s="5">
        <v>1471</v>
      </c>
      <c r="B1473" s="5" t="str">
        <f>"36412022010519565585789"</f>
        <v>36412022010519565585789</v>
      </c>
      <c r="C1473" s="5" t="s">
        <v>31</v>
      </c>
      <c r="D1473" s="5" t="str">
        <f>"陈雨欣"</f>
        <v>陈雨欣</v>
      </c>
      <c r="E1473" s="5" t="str">
        <f t="shared" si="160"/>
        <v>女</v>
      </c>
      <c r="F1473" s="5" t="str">
        <f t="shared" si="161"/>
        <v>汉族</v>
      </c>
    </row>
    <row r="1474" ht="30" customHeight="1" spans="1:6">
      <c r="A1474" s="5">
        <v>1472</v>
      </c>
      <c r="B1474" s="5" t="str">
        <f>"36412022010520030885821"</f>
        <v>36412022010520030885821</v>
      </c>
      <c r="C1474" s="5" t="s">
        <v>31</v>
      </c>
      <c r="D1474" s="5" t="str">
        <f>"陆显任"</f>
        <v>陆显任</v>
      </c>
      <c r="E1474" s="5" t="str">
        <f t="shared" si="160"/>
        <v>女</v>
      </c>
      <c r="F1474" s="5" t="str">
        <f t="shared" si="161"/>
        <v>汉族</v>
      </c>
    </row>
    <row r="1475" ht="30" customHeight="1" spans="1:6">
      <c r="A1475" s="5">
        <v>1473</v>
      </c>
      <c r="B1475" s="5" t="str">
        <f>"36412022010616275988892"</f>
        <v>36412022010616275988892</v>
      </c>
      <c r="C1475" s="5" t="s">
        <v>31</v>
      </c>
      <c r="D1475" s="5" t="str">
        <f>"邢恋"</f>
        <v>邢恋</v>
      </c>
      <c r="E1475" s="5" t="str">
        <f t="shared" si="160"/>
        <v>女</v>
      </c>
      <c r="F1475" s="5" t="str">
        <f>"黎族"</f>
        <v>黎族</v>
      </c>
    </row>
    <row r="1476" ht="30" customHeight="1" spans="1:6">
      <c r="A1476" s="5">
        <v>1474</v>
      </c>
      <c r="B1476" s="5" t="str">
        <f>"36412022010619135789454"</f>
        <v>36412022010619135789454</v>
      </c>
      <c r="C1476" s="5" t="s">
        <v>31</v>
      </c>
      <c r="D1476" s="5" t="str">
        <f>"黎万霞"</f>
        <v>黎万霞</v>
      </c>
      <c r="E1476" s="5" t="str">
        <f t="shared" si="160"/>
        <v>女</v>
      </c>
      <c r="F1476" s="5" t="str">
        <f>"汉族"</f>
        <v>汉族</v>
      </c>
    </row>
    <row r="1477" ht="30" customHeight="1" spans="1:6">
      <c r="A1477" s="5">
        <v>1475</v>
      </c>
      <c r="B1477" s="5" t="str">
        <f>"36412022010622491390217"</f>
        <v>36412022010622491390217</v>
      </c>
      <c r="C1477" s="5" t="s">
        <v>31</v>
      </c>
      <c r="D1477" s="5" t="str">
        <f>"佟海琪"</f>
        <v>佟海琪</v>
      </c>
      <c r="E1477" s="5" t="str">
        <f t="shared" si="160"/>
        <v>女</v>
      </c>
      <c r="F1477" s="5" t="str">
        <f>"蒙古族"</f>
        <v>蒙古族</v>
      </c>
    </row>
    <row r="1478" ht="30" customHeight="1" spans="1:6">
      <c r="A1478" s="5">
        <v>1476</v>
      </c>
      <c r="B1478" s="5" t="str">
        <f>"36412022010623253490311"</f>
        <v>36412022010623253490311</v>
      </c>
      <c r="C1478" s="5" t="s">
        <v>31</v>
      </c>
      <c r="D1478" s="5" t="str">
        <f>"陈琳"</f>
        <v>陈琳</v>
      </c>
      <c r="E1478" s="5" t="str">
        <f t="shared" si="160"/>
        <v>女</v>
      </c>
      <c r="F1478" s="5" t="str">
        <f t="shared" ref="F1478:F1489" si="162">"汉族"</f>
        <v>汉族</v>
      </c>
    </row>
    <row r="1479" ht="30" customHeight="1" spans="1:6">
      <c r="A1479" s="5">
        <v>1477</v>
      </c>
      <c r="B1479" s="5" t="str">
        <f>"36412022010700173190393"</f>
        <v>36412022010700173190393</v>
      </c>
      <c r="C1479" s="5" t="s">
        <v>31</v>
      </c>
      <c r="D1479" s="5" t="str">
        <f>"苏凤妹"</f>
        <v>苏凤妹</v>
      </c>
      <c r="E1479" s="5" t="str">
        <f t="shared" si="160"/>
        <v>女</v>
      </c>
      <c r="F1479" s="5" t="str">
        <f t="shared" si="162"/>
        <v>汉族</v>
      </c>
    </row>
    <row r="1480" ht="30" customHeight="1" spans="1:6">
      <c r="A1480" s="5">
        <v>1478</v>
      </c>
      <c r="B1480" s="5" t="str">
        <f>"36412022010708230890528"</f>
        <v>36412022010708230890528</v>
      </c>
      <c r="C1480" s="5" t="s">
        <v>31</v>
      </c>
      <c r="D1480" s="5" t="str">
        <f>"邢贞苗"</f>
        <v>邢贞苗</v>
      </c>
      <c r="E1480" s="5" t="str">
        <f t="shared" si="160"/>
        <v>女</v>
      </c>
      <c r="F1480" s="5" t="str">
        <f t="shared" si="162"/>
        <v>汉族</v>
      </c>
    </row>
    <row r="1481" ht="30" customHeight="1" spans="1:6">
      <c r="A1481" s="5">
        <v>1479</v>
      </c>
      <c r="B1481" s="5" t="str">
        <f>"36412022010711301191133"</f>
        <v>36412022010711301191133</v>
      </c>
      <c r="C1481" s="5" t="s">
        <v>31</v>
      </c>
      <c r="D1481" s="5" t="str">
        <f>"陈兴凤"</f>
        <v>陈兴凤</v>
      </c>
      <c r="E1481" s="5" t="str">
        <f t="shared" si="160"/>
        <v>女</v>
      </c>
      <c r="F1481" s="5" t="str">
        <f t="shared" si="162"/>
        <v>汉族</v>
      </c>
    </row>
    <row r="1482" ht="30" customHeight="1" spans="1:6">
      <c r="A1482" s="5">
        <v>1480</v>
      </c>
      <c r="B1482" s="5" t="str">
        <f>"36412022010814075893498"</f>
        <v>36412022010814075893498</v>
      </c>
      <c r="C1482" s="5" t="s">
        <v>31</v>
      </c>
      <c r="D1482" s="5" t="str">
        <f>"张昌珍"</f>
        <v>张昌珍</v>
      </c>
      <c r="E1482" s="5" t="str">
        <f t="shared" si="160"/>
        <v>女</v>
      </c>
      <c r="F1482" s="5" t="str">
        <f t="shared" si="162"/>
        <v>汉族</v>
      </c>
    </row>
    <row r="1483" ht="30" customHeight="1" spans="1:6">
      <c r="A1483" s="5">
        <v>1481</v>
      </c>
      <c r="B1483" s="5" t="str">
        <f>"36412022010815102493592"</f>
        <v>36412022010815102493592</v>
      </c>
      <c r="C1483" s="5" t="s">
        <v>31</v>
      </c>
      <c r="D1483" s="5" t="str">
        <f>"吴清叶"</f>
        <v>吴清叶</v>
      </c>
      <c r="E1483" s="5" t="str">
        <f t="shared" si="160"/>
        <v>女</v>
      </c>
      <c r="F1483" s="5" t="str">
        <f t="shared" si="162"/>
        <v>汉族</v>
      </c>
    </row>
    <row r="1484" ht="30" customHeight="1" spans="1:6">
      <c r="A1484" s="5">
        <v>1482</v>
      </c>
      <c r="B1484" s="5" t="str">
        <f>"36412022010817164093805"</f>
        <v>36412022010817164093805</v>
      </c>
      <c r="C1484" s="5" t="s">
        <v>31</v>
      </c>
      <c r="D1484" s="5" t="str">
        <f>"余荣琴"</f>
        <v>余荣琴</v>
      </c>
      <c r="E1484" s="5" t="str">
        <f t="shared" si="160"/>
        <v>女</v>
      </c>
      <c r="F1484" s="5" t="str">
        <f t="shared" si="162"/>
        <v>汉族</v>
      </c>
    </row>
    <row r="1485" ht="30" customHeight="1" spans="1:6">
      <c r="A1485" s="5">
        <v>1483</v>
      </c>
      <c r="B1485" s="5" t="str">
        <f>"36412022010913100295168"</f>
        <v>36412022010913100295168</v>
      </c>
      <c r="C1485" s="5" t="s">
        <v>31</v>
      </c>
      <c r="D1485" s="5" t="str">
        <f>"符香妍"</f>
        <v>符香妍</v>
      </c>
      <c r="E1485" s="5" t="str">
        <f t="shared" si="160"/>
        <v>女</v>
      </c>
      <c r="F1485" s="5" t="str">
        <f t="shared" si="162"/>
        <v>汉族</v>
      </c>
    </row>
    <row r="1486" ht="30" customHeight="1" spans="1:6">
      <c r="A1486" s="5">
        <v>1484</v>
      </c>
      <c r="B1486" s="5" t="str">
        <f>"36412022010915561895513"</f>
        <v>36412022010915561895513</v>
      </c>
      <c r="C1486" s="5" t="s">
        <v>31</v>
      </c>
      <c r="D1486" s="5" t="str">
        <f>"符发琴"</f>
        <v>符发琴</v>
      </c>
      <c r="E1486" s="5" t="str">
        <f t="shared" si="160"/>
        <v>女</v>
      </c>
      <c r="F1486" s="5" t="str">
        <f t="shared" si="162"/>
        <v>汉族</v>
      </c>
    </row>
    <row r="1487" ht="30" customHeight="1" spans="1:6">
      <c r="A1487" s="5">
        <v>1485</v>
      </c>
      <c r="B1487" s="5" t="str">
        <f>"36412022010918520195768"</f>
        <v>36412022010918520195768</v>
      </c>
      <c r="C1487" s="5" t="s">
        <v>31</v>
      </c>
      <c r="D1487" s="5" t="str">
        <f>"符丽选"</f>
        <v>符丽选</v>
      </c>
      <c r="E1487" s="5" t="str">
        <f t="shared" si="160"/>
        <v>女</v>
      </c>
      <c r="F1487" s="5" t="str">
        <f t="shared" si="162"/>
        <v>汉族</v>
      </c>
    </row>
    <row r="1488" ht="30" customHeight="1" spans="1:6">
      <c r="A1488" s="5">
        <v>1486</v>
      </c>
      <c r="B1488" s="5" t="str">
        <f>"36412022010919101995790"</f>
        <v>36412022010919101995790</v>
      </c>
      <c r="C1488" s="5" t="s">
        <v>31</v>
      </c>
      <c r="D1488" s="5" t="str">
        <f>"王小露"</f>
        <v>王小露</v>
      </c>
      <c r="E1488" s="5" t="str">
        <f t="shared" si="160"/>
        <v>女</v>
      </c>
      <c r="F1488" s="5" t="str">
        <f t="shared" si="162"/>
        <v>汉族</v>
      </c>
    </row>
    <row r="1489" ht="30" customHeight="1" spans="1:6">
      <c r="A1489" s="5">
        <v>1487</v>
      </c>
      <c r="B1489" s="5" t="str">
        <f>"36412022010921453296055"</f>
        <v>36412022010921453296055</v>
      </c>
      <c r="C1489" s="5" t="s">
        <v>31</v>
      </c>
      <c r="D1489" s="5" t="str">
        <f>"张艺"</f>
        <v>张艺</v>
      </c>
      <c r="E1489" s="5" t="str">
        <f>"男"</f>
        <v>男</v>
      </c>
      <c r="F1489" s="5" t="str">
        <f t="shared" si="162"/>
        <v>汉族</v>
      </c>
    </row>
    <row r="1490" ht="30" customHeight="1" spans="1:6">
      <c r="A1490" s="5">
        <v>1488</v>
      </c>
      <c r="B1490" s="5" t="str">
        <f>"36412022010923375896233"</f>
        <v>36412022010923375896233</v>
      </c>
      <c r="C1490" s="5" t="s">
        <v>31</v>
      </c>
      <c r="D1490" s="5" t="str">
        <f>"邢晓颖"</f>
        <v>邢晓颖</v>
      </c>
      <c r="E1490" s="5" t="str">
        <f t="shared" ref="E1490:E1497" si="163">"女"</f>
        <v>女</v>
      </c>
      <c r="F1490" s="5" t="str">
        <f>"黎族"</f>
        <v>黎族</v>
      </c>
    </row>
    <row r="1491" ht="30" customHeight="1" spans="1:6">
      <c r="A1491" s="5">
        <v>1489</v>
      </c>
      <c r="B1491" s="5" t="str">
        <f>"36412022010923433996239"</f>
        <v>36412022010923433996239</v>
      </c>
      <c r="C1491" s="5" t="s">
        <v>31</v>
      </c>
      <c r="D1491" s="5" t="str">
        <f>"谢金燕"</f>
        <v>谢金燕</v>
      </c>
      <c r="E1491" s="5" t="str">
        <f t="shared" si="163"/>
        <v>女</v>
      </c>
      <c r="F1491" s="5" t="str">
        <f t="shared" ref="F1491:F1496" si="164">"汉族"</f>
        <v>汉族</v>
      </c>
    </row>
    <row r="1492" ht="30" customHeight="1" spans="1:6">
      <c r="A1492" s="5">
        <v>1490</v>
      </c>
      <c r="B1492" s="5" t="str">
        <f>"36412022011008364696371"</f>
        <v>36412022011008364696371</v>
      </c>
      <c r="C1492" s="5" t="s">
        <v>31</v>
      </c>
      <c r="D1492" s="5" t="str">
        <f>"黄裕花"</f>
        <v>黄裕花</v>
      </c>
      <c r="E1492" s="5" t="str">
        <f t="shared" si="163"/>
        <v>女</v>
      </c>
      <c r="F1492" s="5" t="str">
        <f t="shared" si="164"/>
        <v>汉族</v>
      </c>
    </row>
    <row r="1493" ht="30" customHeight="1" spans="1:6">
      <c r="A1493" s="5">
        <v>1491</v>
      </c>
      <c r="B1493" s="5" t="str">
        <f>"36412022011010073196619"</f>
        <v>36412022011010073196619</v>
      </c>
      <c r="C1493" s="5" t="s">
        <v>31</v>
      </c>
      <c r="D1493" s="5" t="str">
        <f>"林娟"</f>
        <v>林娟</v>
      </c>
      <c r="E1493" s="5" t="str">
        <f t="shared" si="163"/>
        <v>女</v>
      </c>
      <c r="F1493" s="5" t="str">
        <f t="shared" si="164"/>
        <v>汉族</v>
      </c>
    </row>
    <row r="1494" ht="30" customHeight="1" spans="1:6">
      <c r="A1494" s="5">
        <v>1492</v>
      </c>
      <c r="B1494" s="5" t="str">
        <f>"36412022011011024696797"</f>
        <v>36412022011011024696797</v>
      </c>
      <c r="C1494" s="5" t="s">
        <v>31</v>
      </c>
      <c r="D1494" s="5" t="str">
        <f>"黄小芳"</f>
        <v>黄小芳</v>
      </c>
      <c r="E1494" s="5" t="str">
        <f t="shared" si="163"/>
        <v>女</v>
      </c>
      <c r="F1494" s="5" t="str">
        <f t="shared" si="164"/>
        <v>汉族</v>
      </c>
    </row>
    <row r="1495" ht="30" customHeight="1" spans="1:6">
      <c r="A1495" s="5">
        <v>1493</v>
      </c>
      <c r="B1495" s="5" t="str">
        <f>"36412022011011101496828"</f>
        <v>36412022011011101496828</v>
      </c>
      <c r="C1495" s="5" t="s">
        <v>31</v>
      </c>
      <c r="D1495" s="5" t="str">
        <f>"吴倩"</f>
        <v>吴倩</v>
      </c>
      <c r="E1495" s="5" t="str">
        <f t="shared" si="163"/>
        <v>女</v>
      </c>
      <c r="F1495" s="5" t="str">
        <f t="shared" si="164"/>
        <v>汉族</v>
      </c>
    </row>
    <row r="1496" ht="30" customHeight="1" spans="1:6">
      <c r="A1496" s="5">
        <v>1494</v>
      </c>
      <c r="B1496" s="5" t="str">
        <f>"36412021123109155869716"</f>
        <v>36412021123109155869716</v>
      </c>
      <c r="C1496" s="5" t="s">
        <v>32</v>
      </c>
      <c r="D1496" s="5" t="str">
        <f>"羊小玲"</f>
        <v>羊小玲</v>
      </c>
      <c r="E1496" s="5" t="str">
        <f t="shared" si="163"/>
        <v>女</v>
      </c>
      <c r="F1496" s="5" t="str">
        <f t="shared" si="164"/>
        <v>汉族</v>
      </c>
    </row>
    <row r="1497" ht="30" customHeight="1" spans="1:6">
      <c r="A1497" s="5">
        <v>1495</v>
      </c>
      <c r="B1497" s="5" t="str">
        <f>"36412021123109240369743"</f>
        <v>36412021123109240369743</v>
      </c>
      <c r="C1497" s="5" t="s">
        <v>32</v>
      </c>
      <c r="D1497" s="5" t="str">
        <f>"麦亚端"</f>
        <v>麦亚端</v>
      </c>
      <c r="E1497" s="5" t="str">
        <f t="shared" si="163"/>
        <v>女</v>
      </c>
      <c r="F1497" s="5" t="str">
        <f>"黎族"</f>
        <v>黎族</v>
      </c>
    </row>
    <row r="1498" ht="30" customHeight="1" spans="1:6">
      <c r="A1498" s="5">
        <v>1496</v>
      </c>
      <c r="B1498" s="5" t="str">
        <f>"36412021123109352269788"</f>
        <v>36412021123109352269788</v>
      </c>
      <c r="C1498" s="5" t="s">
        <v>32</v>
      </c>
      <c r="D1498" s="5" t="str">
        <f>"钟佳洋"</f>
        <v>钟佳洋</v>
      </c>
      <c r="E1498" s="5" t="str">
        <f>"男"</f>
        <v>男</v>
      </c>
      <c r="F1498" s="5" t="str">
        <f>"汉族"</f>
        <v>汉族</v>
      </c>
    </row>
    <row r="1499" ht="30" customHeight="1" spans="1:6">
      <c r="A1499" s="5">
        <v>1497</v>
      </c>
      <c r="B1499" s="5" t="str">
        <f>"36412021123109433869825"</f>
        <v>36412021123109433869825</v>
      </c>
      <c r="C1499" s="5" t="s">
        <v>32</v>
      </c>
      <c r="D1499" s="5" t="str">
        <f>"王烨"</f>
        <v>王烨</v>
      </c>
      <c r="E1499" s="5" t="str">
        <f t="shared" ref="E1499:E1513" si="165">"女"</f>
        <v>女</v>
      </c>
      <c r="F1499" s="5" t="str">
        <f>"黎族"</f>
        <v>黎族</v>
      </c>
    </row>
    <row r="1500" ht="30" customHeight="1" spans="1:6">
      <c r="A1500" s="5">
        <v>1498</v>
      </c>
      <c r="B1500" s="5" t="str">
        <f>"36412021123110034969921"</f>
        <v>36412021123110034969921</v>
      </c>
      <c r="C1500" s="5" t="s">
        <v>32</v>
      </c>
      <c r="D1500" s="5" t="str">
        <f>"蔡金芝"</f>
        <v>蔡金芝</v>
      </c>
      <c r="E1500" s="5" t="str">
        <f t="shared" si="165"/>
        <v>女</v>
      </c>
      <c r="F1500" s="5" t="str">
        <f t="shared" ref="F1500:F1508" si="166">"汉族"</f>
        <v>汉族</v>
      </c>
    </row>
    <row r="1501" ht="30" customHeight="1" spans="1:6">
      <c r="A1501" s="5">
        <v>1499</v>
      </c>
      <c r="B1501" s="5" t="str">
        <f>"36412021123111060070217"</f>
        <v>36412021123111060070217</v>
      </c>
      <c r="C1501" s="5" t="s">
        <v>32</v>
      </c>
      <c r="D1501" s="5" t="str">
        <f>"李月春"</f>
        <v>李月春</v>
      </c>
      <c r="E1501" s="5" t="str">
        <f t="shared" si="165"/>
        <v>女</v>
      </c>
      <c r="F1501" s="5" t="str">
        <f t="shared" si="166"/>
        <v>汉族</v>
      </c>
    </row>
    <row r="1502" ht="30" customHeight="1" spans="1:6">
      <c r="A1502" s="5">
        <v>1500</v>
      </c>
      <c r="B1502" s="5" t="str">
        <f>"36412021123111081970226"</f>
        <v>36412021123111081970226</v>
      </c>
      <c r="C1502" s="5" t="s">
        <v>32</v>
      </c>
      <c r="D1502" s="5" t="str">
        <f>"林保棉"</f>
        <v>林保棉</v>
      </c>
      <c r="E1502" s="5" t="str">
        <f t="shared" si="165"/>
        <v>女</v>
      </c>
      <c r="F1502" s="5" t="str">
        <f t="shared" si="166"/>
        <v>汉族</v>
      </c>
    </row>
    <row r="1503" ht="30" customHeight="1" spans="1:6">
      <c r="A1503" s="5">
        <v>1501</v>
      </c>
      <c r="B1503" s="5" t="str">
        <f>"36412021123111132270249"</f>
        <v>36412021123111132270249</v>
      </c>
      <c r="C1503" s="5" t="s">
        <v>32</v>
      </c>
      <c r="D1503" s="5" t="str">
        <f>"李卫萍"</f>
        <v>李卫萍</v>
      </c>
      <c r="E1503" s="5" t="str">
        <f t="shared" si="165"/>
        <v>女</v>
      </c>
      <c r="F1503" s="5" t="str">
        <f t="shared" si="166"/>
        <v>汉族</v>
      </c>
    </row>
    <row r="1504" ht="30" customHeight="1" spans="1:6">
      <c r="A1504" s="5">
        <v>1502</v>
      </c>
      <c r="B1504" s="5" t="str">
        <f>"36412021123111164270263"</f>
        <v>36412021123111164270263</v>
      </c>
      <c r="C1504" s="5" t="s">
        <v>32</v>
      </c>
      <c r="D1504" s="5" t="str">
        <f>"陈丽芳"</f>
        <v>陈丽芳</v>
      </c>
      <c r="E1504" s="5" t="str">
        <f t="shared" si="165"/>
        <v>女</v>
      </c>
      <c r="F1504" s="5" t="str">
        <f t="shared" si="166"/>
        <v>汉族</v>
      </c>
    </row>
    <row r="1505" ht="30" customHeight="1" spans="1:6">
      <c r="A1505" s="5">
        <v>1503</v>
      </c>
      <c r="B1505" s="5" t="str">
        <f>"36412021123111182070268"</f>
        <v>36412021123111182070268</v>
      </c>
      <c r="C1505" s="5" t="s">
        <v>32</v>
      </c>
      <c r="D1505" s="5" t="str">
        <f>"张文慧"</f>
        <v>张文慧</v>
      </c>
      <c r="E1505" s="5" t="str">
        <f t="shared" si="165"/>
        <v>女</v>
      </c>
      <c r="F1505" s="5" t="str">
        <f t="shared" si="166"/>
        <v>汉族</v>
      </c>
    </row>
    <row r="1506" ht="30" customHeight="1" spans="1:6">
      <c r="A1506" s="5">
        <v>1504</v>
      </c>
      <c r="B1506" s="5" t="str">
        <f>"36412021123111190570275"</f>
        <v>36412021123111190570275</v>
      </c>
      <c r="C1506" s="5" t="s">
        <v>32</v>
      </c>
      <c r="D1506" s="5" t="str">
        <f>"蔡亲梅"</f>
        <v>蔡亲梅</v>
      </c>
      <c r="E1506" s="5" t="str">
        <f t="shared" si="165"/>
        <v>女</v>
      </c>
      <c r="F1506" s="5" t="str">
        <f t="shared" si="166"/>
        <v>汉族</v>
      </c>
    </row>
    <row r="1507" ht="30" customHeight="1" spans="1:6">
      <c r="A1507" s="5">
        <v>1505</v>
      </c>
      <c r="B1507" s="5" t="str">
        <f>"36412021123111415470348"</f>
        <v>36412021123111415470348</v>
      </c>
      <c r="C1507" s="5" t="s">
        <v>32</v>
      </c>
      <c r="D1507" s="5" t="str">
        <f>"黄成敏"</f>
        <v>黄成敏</v>
      </c>
      <c r="E1507" s="5" t="str">
        <f t="shared" si="165"/>
        <v>女</v>
      </c>
      <c r="F1507" s="5" t="str">
        <f t="shared" si="166"/>
        <v>汉族</v>
      </c>
    </row>
    <row r="1508" ht="30" customHeight="1" spans="1:6">
      <c r="A1508" s="5">
        <v>1506</v>
      </c>
      <c r="B1508" s="5" t="str">
        <f>"36412021123112132370428"</f>
        <v>36412021123112132370428</v>
      </c>
      <c r="C1508" s="5" t="s">
        <v>32</v>
      </c>
      <c r="D1508" s="5" t="str">
        <f>"符焕媚"</f>
        <v>符焕媚</v>
      </c>
      <c r="E1508" s="5" t="str">
        <f t="shared" si="165"/>
        <v>女</v>
      </c>
      <c r="F1508" s="5" t="str">
        <f t="shared" si="166"/>
        <v>汉族</v>
      </c>
    </row>
    <row r="1509" ht="30" customHeight="1" spans="1:6">
      <c r="A1509" s="5">
        <v>1507</v>
      </c>
      <c r="B1509" s="5" t="str">
        <f>"36412021123113222670591"</f>
        <v>36412021123113222670591</v>
      </c>
      <c r="C1509" s="5" t="s">
        <v>32</v>
      </c>
      <c r="D1509" s="5" t="str">
        <f>"莫冬羽"</f>
        <v>莫冬羽</v>
      </c>
      <c r="E1509" s="5" t="str">
        <f t="shared" si="165"/>
        <v>女</v>
      </c>
      <c r="F1509" s="5" t="str">
        <f>"黎族"</f>
        <v>黎族</v>
      </c>
    </row>
    <row r="1510" ht="30" customHeight="1" spans="1:6">
      <c r="A1510" s="5">
        <v>1508</v>
      </c>
      <c r="B1510" s="5" t="str">
        <f>"36412021123113450270636"</f>
        <v>36412021123113450270636</v>
      </c>
      <c r="C1510" s="5" t="s">
        <v>32</v>
      </c>
      <c r="D1510" s="5" t="str">
        <f>"李凤珍"</f>
        <v>李凤珍</v>
      </c>
      <c r="E1510" s="5" t="str">
        <f t="shared" si="165"/>
        <v>女</v>
      </c>
      <c r="F1510" s="5" t="str">
        <f>"汉族"</f>
        <v>汉族</v>
      </c>
    </row>
    <row r="1511" ht="30" customHeight="1" spans="1:6">
      <c r="A1511" s="5">
        <v>1509</v>
      </c>
      <c r="B1511" s="5" t="str">
        <f>"36412021123114332570739"</f>
        <v>36412021123114332570739</v>
      </c>
      <c r="C1511" s="5" t="s">
        <v>32</v>
      </c>
      <c r="D1511" s="5" t="str">
        <f>"符小翠"</f>
        <v>符小翠</v>
      </c>
      <c r="E1511" s="5" t="str">
        <f t="shared" si="165"/>
        <v>女</v>
      </c>
      <c r="F1511" s="5" t="str">
        <f>"黎族"</f>
        <v>黎族</v>
      </c>
    </row>
    <row r="1512" ht="30" customHeight="1" spans="1:6">
      <c r="A1512" s="5">
        <v>1510</v>
      </c>
      <c r="B1512" s="5" t="str">
        <f>"36412021123115550670949"</f>
        <v>36412021123115550670949</v>
      </c>
      <c r="C1512" s="5" t="s">
        <v>32</v>
      </c>
      <c r="D1512" s="5" t="str">
        <f>"庞云引"</f>
        <v>庞云引</v>
      </c>
      <c r="E1512" s="5" t="str">
        <f t="shared" si="165"/>
        <v>女</v>
      </c>
      <c r="F1512" s="5" t="str">
        <f>"汉族"</f>
        <v>汉族</v>
      </c>
    </row>
    <row r="1513" ht="30" customHeight="1" spans="1:6">
      <c r="A1513" s="5">
        <v>1511</v>
      </c>
      <c r="B1513" s="5" t="str">
        <f>"36412021123116165170998"</f>
        <v>36412021123116165170998</v>
      </c>
      <c r="C1513" s="5" t="s">
        <v>32</v>
      </c>
      <c r="D1513" s="5" t="str">
        <f>"王秋曼"</f>
        <v>王秋曼</v>
      </c>
      <c r="E1513" s="5" t="str">
        <f t="shared" si="165"/>
        <v>女</v>
      </c>
      <c r="F1513" s="5" t="str">
        <f>"黎族"</f>
        <v>黎族</v>
      </c>
    </row>
    <row r="1514" ht="30" customHeight="1" spans="1:6">
      <c r="A1514" s="5">
        <v>1512</v>
      </c>
      <c r="B1514" s="5" t="str">
        <f>"36412021123117250471132"</f>
        <v>36412021123117250471132</v>
      </c>
      <c r="C1514" s="5" t="s">
        <v>32</v>
      </c>
      <c r="D1514" s="5" t="str">
        <f>"翁时岛"</f>
        <v>翁时岛</v>
      </c>
      <c r="E1514" s="5" t="str">
        <f>"男"</f>
        <v>男</v>
      </c>
      <c r="F1514" s="5" t="str">
        <f t="shared" ref="F1514:F1546" si="167">"汉族"</f>
        <v>汉族</v>
      </c>
    </row>
    <row r="1515" ht="30" customHeight="1" spans="1:6">
      <c r="A1515" s="5">
        <v>1513</v>
      </c>
      <c r="B1515" s="5" t="str">
        <f>"36412021123117462571154"</f>
        <v>36412021123117462571154</v>
      </c>
      <c r="C1515" s="5" t="s">
        <v>32</v>
      </c>
      <c r="D1515" s="5" t="str">
        <f>"王舒鸿"</f>
        <v>王舒鸿</v>
      </c>
      <c r="E1515" s="5" t="str">
        <f>"女"</f>
        <v>女</v>
      </c>
      <c r="F1515" s="5" t="str">
        <f t="shared" si="167"/>
        <v>汉族</v>
      </c>
    </row>
    <row r="1516" ht="30" customHeight="1" spans="1:6">
      <c r="A1516" s="5">
        <v>1514</v>
      </c>
      <c r="B1516" s="5" t="str">
        <f>"36412021123119201171226"</f>
        <v>36412021123119201171226</v>
      </c>
      <c r="C1516" s="5" t="s">
        <v>32</v>
      </c>
      <c r="D1516" s="5" t="str">
        <f>"吴仪"</f>
        <v>吴仪</v>
      </c>
      <c r="E1516" s="5" t="str">
        <f>"女"</f>
        <v>女</v>
      </c>
      <c r="F1516" s="5" t="str">
        <f t="shared" si="167"/>
        <v>汉族</v>
      </c>
    </row>
    <row r="1517" ht="30" customHeight="1" spans="1:6">
      <c r="A1517" s="5">
        <v>1515</v>
      </c>
      <c r="B1517" s="5" t="str">
        <f>"36412021123120034871262"</f>
        <v>36412021123120034871262</v>
      </c>
      <c r="C1517" s="5" t="s">
        <v>32</v>
      </c>
      <c r="D1517" s="5" t="str">
        <f>"王天绪"</f>
        <v>王天绪</v>
      </c>
      <c r="E1517" s="5" t="str">
        <f>"女"</f>
        <v>女</v>
      </c>
      <c r="F1517" s="5" t="str">
        <f t="shared" si="167"/>
        <v>汉族</v>
      </c>
    </row>
    <row r="1518" ht="30" customHeight="1" spans="1:6">
      <c r="A1518" s="5">
        <v>1516</v>
      </c>
      <c r="B1518" s="5" t="str">
        <f>"36412021123122444871370"</f>
        <v>36412021123122444871370</v>
      </c>
      <c r="C1518" s="5" t="s">
        <v>32</v>
      </c>
      <c r="D1518" s="5" t="str">
        <f>"伍理权"</f>
        <v>伍理权</v>
      </c>
      <c r="E1518" s="5" t="str">
        <f>"男"</f>
        <v>男</v>
      </c>
      <c r="F1518" s="5" t="str">
        <f t="shared" si="167"/>
        <v>汉族</v>
      </c>
    </row>
    <row r="1519" ht="30" customHeight="1" spans="1:6">
      <c r="A1519" s="5">
        <v>1517</v>
      </c>
      <c r="B1519" s="5" t="str">
        <f>"36412022010107521871422"</f>
        <v>36412022010107521871422</v>
      </c>
      <c r="C1519" s="5" t="s">
        <v>32</v>
      </c>
      <c r="D1519" s="5" t="str">
        <f>"胡美杰"</f>
        <v>胡美杰</v>
      </c>
      <c r="E1519" s="5" t="str">
        <f t="shared" ref="E1519:E1531" si="168">"女"</f>
        <v>女</v>
      </c>
      <c r="F1519" s="5" t="str">
        <f t="shared" si="167"/>
        <v>汉族</v>
      </c>
    </row>
    <row r="1520" ht="30" customHeight="1" spans="1:6">
      <c r="A1520" s="5">
        <v>1518</v>
      </c>
      <c r="B1520" s="5" t="str">
        <f>"36412022010110043771530"</f>
        <v>36412022010110043771530</v>
      </c>
      <c r="C1520" s="5" t="s">
        <v>32</v>
      </c>
      <c r="D1520" s="5" t="str">
        <f>"吴金代"</f>
        <v>吴金代</v>
      </c>
      <c r="E1520" s="5" t="str">
        <f t="shared" si="168"/>
        <v>女</v>
      </c>
      <c r="F1520" s="5" t="str">
        <f t="shared" si="167"/>
        <v>汉族</v>
      </c>
    </row>
    <row r="1521" ht="30" customHeight="1" spans="1:6">
      <c r="A1521" s="5">
        <v>1519</v>
      </c>
      <c r="B1521" s="5" t="str">
        <f>"36412022010110074571537"</f>
        <v>36412022010110074571537</v>
      </c>
      <c r="C1521" s="5" t="s">
        <v>32</v>
      </c>
      <c r="D1521" s="5" t="str">
        <f>"张子燕"</f>
        <v>张子燕</v>
      </c>
      <c r="E1521" s="5" t="str">
        <f t="shared" si="168"/>
        <v>女</v>
      </c>
      <c r="F1521" s="5" t="str">
        <f t="shared" si="167"/>
        <v>汉族</v>
      </c>
    </row>
    <row r="1522" ht="30" customHeight="1" spans="1:6">
      <c r="A1522" s="5">
        <v>1520</v>
      </c>
      <c r="B1522" s="5" t="str">
        <f>"36412022010112590571751"</f>
        <v>36412022010112590571751</v>
      </c>
      <c r="C1522" s="5" t="s">
        <v>32</v>
      </c>
      <c r="D1522" s="5" t="str">
        <f>"邓恒劳"</f>
        <v>邓恒劳</v>
      </c>
      <c r="E1522" s="5" t="str">
        <f t="shared" si="168"/>
        <v>女</v>
      </c>
      <c r="F1522" s="5" t="str">
        <f t="shared" si="167"/>
        <v>汉族</v>
      </c>
    </row>
    <row r="1523" ht="30" customHeight="1" spans="1:6">
      <c r="A1523" s="5">
        <v>1521</v>
      </c>
      <c r="B1523" s="5" t="str">
        <f>"36412022010114044771836"</f>
        <v>36412022010114044771836</v>
      </c>
      <c r="C1523" s="5" t="s">
        <v>32</v>
      </c>
      <c r="D1523" s="5" t="str">
        <f>"李娟"</f>
        <v>李娟</v>
      </c>
      <c r="E1523" s="5" t="str">
        <f t="shared" si="168"/>
        <v>女</v>
      </c>
      <c r="F1523" s="5" t="str">
        <f t="shared" si="167"/>
        <v>汉族</v>
      </c>
    </row>
    <row r="1524" ht="30" customHeight="1" spans="1:6">
      <c r="A1524" s="5">
        <v>1522</v>
      </c>
      <c r="B1524" s="5" t="str">
        <f>"36412022010116494271993"</f>
        <v>36412022010116494271993</v>
      </c>
      <c r="C1524" s="5" t="s">
        <v>32</v>
      </c>
      <c r="D1524" s="5" t="str">
        <f>"吕乾珍"</f>
        <v>吕乾珍</v>
      </c>
      <c r="E1524" s="5" t="str">
        <f t="shared" si="168"/>
        <v>女</v>
      </c>
      <c r="F1524" s="5" t="str">
        <f t="shared" si="167"/>
        <v>汉族</v>
      </c>
    </row>
    <row r="1525" ht="30" customHeight="1" spans="1:6">
      <c r="A1525" s="5">
        <v>1523</v>
      </c>
      <c r="B1525" s="5" t="str">
        <f>"36412022010117455172044"</f>
        <v>36412022010117455172044</v>
      </c>
      <c r="C1525" s="5" t="s">
        <v>32</v>
      </c>
      <c r="D1525" s="5" t="str">
        <f>"陈积恩"</f>
        <v>陈积恩</v>
      </c>
      <c r="E1525" s="5" t="str">
        <f t="shared" si="168"/>
        <v>女</v>
      </c>
      <c r="F1525" s="5" t="str">
        <f t="shared" si="167"/>
        <v>汉族</v>
      </c>
    </row>
    <row r="1526" ht="30" customHeight="1" spans="1:6">
      <c r="A1526" s="5">
        <v>1524</v>
      </c>
      <c r="B1526" s="5" t="str">
        <f>"36412022010118530472094"</f>
        <v>36412022010118530472094</v>
      </c>
      <c r="C1526" s="5" t="s">
        <v>32</v>
      </c>
      <c r="D1526" s="5" t="str">
        <f>"赵丽"</f>
        <v>赵丽</v>
      </c>
      <c r="E1526" s="5" t="str">
        <f t="shared" si="168"/>
        <v>女</v>
      </c>
      <c r="F1526" s="5" t="str">
        <f t="shared" si="167"/>
        <v>汉族</v>
      </c>
    </row>
    <row r="1527" ht="30" customHeight="1" spans="1:6">
      <c r="A1527" s="5">
        <v>1525</v>
      </c>
      <c r="B1527" s="5" t="str">
        <f>"36412022010120374572193"</f>
        <v>36412022010120374572193</v>
      </c>
      <c r="C1527" s="5" t="s">
        <v>32</v>
      </c>
      <c r="D1527" s="5" t="str">
        <f>"邢虹艳"</f>
        <v>邢虹艳</v>
      </c>
      <c r="E1527" s="5" t="str">
        <f t="shared" si="168"/>
        <v>女</v>
      </c>
      <c r="F1527" s="5" t="str">
        <f t="shared" si="167"/>
        <v>汉族</v>
      </c>
    </row>
    <row r="1528" ht="30" customHeight="1" spans="1:6">
      <c r="A1528" s="5">
        <v>1526</v>
      </c>
      <c r="B1528" s="5" t="str">
        <f>"36412022010121411472269"</f>
        <v>36412022010121411472269</v>
      </c>
      <c r="C1528" s="5" t="s">
        <v>32</v>
      </c>
      <c r="D1528" s="5" t="str">
        <f>"符衍婷"</f>
        <v>符衍婷</v>
      </c>
      <c r="E1528" s="5" t="str">
        <f t="shared" si="168"/>
        <v>女</v>
      </c>
      <c r="F1528" s="5" t="str">
        <f t="shared" si="167"/>
        <v>汉族</v>
      </c>
    </row>
    <row r="1529" ht="30" customHeight="1" spans="1:6">
      <c r="A1529" s="5">
        <v>1527</v>
      </c>
      <c r="B1529" s="5" t="str">
        <f>"36412022010215003072902"</f>
        <v>36412022010215003072902</v>
      </c>
      <c r="C1529" s="5" t="s">
        <v>32</v>
      </c>
      <c r="D1529" s="5" t="str">
        <f>"刘利亭"</f>
        <v>刘利亭</v>
      </c>
      <c r="E1529" s="5" t="str">
        <f t="shared" si="168"/>
        <v>女</v>
      </c>
      <c r="F1529" s="5" t="str">
        <f t="shared" si="167"/>
        <v>汉族</v>
      </c>
    </row>
    <row r="1530" ht="30" customHeight="1" spans="1:6">
      <c r="A1530" s="5">
        <v>1528</v>
      </c>
      <c r="B1530" s="5" t="str">
        <f>"36412022010215311772933"</f>
        <v>36412022010215311772933</v>
      </c>
      <c r="C1530" s="5" t="s">
        <v>32</v>
      </c>
      <c r="D1530" s="5" t="str">
        <f>"吴丽婷"</f>
        <v>吴丽婷</v>
      </c>
      <c r="E1530" s="5" t="str">
        <f t="shared" si="168"/>
        <v>女</v>
      </c>
      <c r="F1530" s="5" t="str">
        <f t="shared" si="167"/>
        <v>汉族</v>
      </c>
    </row>
    <row r="1531" ht="30" customHeight="1" spans="1:6">
      <c r="A1531" s="5">
        <v>1529</v>
      </c>
      <c r="B1531" s="5" t="str">
        <f>"36412022010218154473111"</f>
        <v>36412022010218154473111</v>
      </c>
      <c r="C1531" s="5" t="s">
        <v>32</v>
      </c>
      <c r="D1531" s="5" t="str">
        <f>"陈汉翠"</f>
        <v>陈汉翠</v>
      </c>
      <c r="E1531" s="5" t="str">
        <f t="shared" si="168"/>
        <v>女</v>
      </c>
      <c r="F1531" s="5" t="str">
        <f t="shared" si="167"/>
        <v>汉族</v>
      </c>
    </row>
    <row r="1532" ht="30" customHeight="1" spans="1:6">
      <c r="A1532" s="5">
        <v>1530</v>
      </c>
      <c r="B1532" s="5" t="str">
        <f>"36412022010220124073235"</f>
        <v>36412022010220124073235</v>
      </c>
      <c r="C1532" s="5" t="s">
        <v>32</v>
      </c>
      <c r="D1532" s="5" t="str">
        <f>"陈垂强"</f>
        <v>陈垂强</v>
      </c>
      <c r="E1532" s="5" t="str">
        <f>"男"</f>
        <v>男</v>
      </c>
      <c r="F1532" s="5" t="str">
        <f t="shared" si="167"/>
        <v>汉族</v>
      </c>
    </row>
    <row r="1533" ht="30" customHeight="1" spans="1:6">
      <c r="A1533" s="5">
        <v>1531</v>
      </c>
      <c r="B1533" s="5" t="str">
        <f>"36412022010220520873272"</f>
        <v>36412022010220520873272</v>
      </c>
      <c r="C1533" s="5" t="s">
        <v>32</v>
      </c>
      <c r="D1533" s="5" t="str">
        <f>"朱小颖"</f>
        <v>朱小颖</v>
      </c>
      <c r="E1533" s="5" t="str">
        <f t="shared" ref="E1533:E1541" si="169">"女"</f>
        <v>女</v>
      </c>
      <c r="F1533" s="5" t="str">
        <f t="shared" si="167"/>
        <v>汉族</v>
      </c>
    </row>
    <row r="1534" ht="30" customHeight="1" spans="1:6">
      <c r="A1534" s="5">
        <v>1532</v>
      </c>
      <c r="B1534" s="5" t="str">
        <f>"36412022010222163873374"</f>
        <v>36412022010222163873374</v>
      </c>
      <c r="C1534" s="5" t="s">
        <v>32</v>
      </c>
      <c r="D1534" s="5" t="str">
        <f>"周怡娴"</f>
        <v>周怡娴</v>
      </c>
      <c r="E1534" s="5" t="str">
        <f t="shared" si="169"/>
        <v>女</v>
      </c>
      <c r="F1534" s="5" t="str">
        <f t="shared" si="167"/>
        <v>汉族</v>
      </c>
    </row>
    <row r="1535" ht="30" customHeight="1" spans="1:6">
      <c r="A1535" s="5">
        <v>1533</v>
      </c>
      <c r="B1535" s="5" t="str">
        <f>"36412022010222584573409"</f>
        <v>36412022010222584573409</v>
      </c>
      <c r="C1535" s="5" t="s">
        <v>32</v>
      </c>
      <c r="D1535" s="5" t="str">
        <f>"李岩妃"</f>
        <v>李岩妃</v>
      </c>
      <c r="E1535" s="5" t="str">
        <f t="shared" si="169"/>
        <v>女</v>
      </c>
      <c r="F1535" s="5" t="str">
        <f t="shared" si="167"/>
        <v>汉族</v>
      </c>
    </row>
    <row r="1536" ht="30" customHeight="1" spans="1:6">
      <c r="A1536" s="5">
        <v>1534</v>
      </c>
      <c r="B1536" s="5" t="str">
        <f>"36412022010308461173593"</f>
        <v>36412022010308461173593</v>
      </c>
      <c r="C1536" s="5" t="s">
        <v>32</v>
      </c>
      <c r="D1536" s="5" t="str">
        <f>"林月惠"</f>
        <v>林月惠</v>
      </c>
      <c r="E1536" s="5" t="str">
        <f t="shared" si="169"/>
        <v>女</v>
      </c>
      <c r="F1536" s="5" t="str">
        <f t="shared" si="167"/>
        <v>汉族</v>
      </c>
    </row>
    <row r="1537" ht="30" customHeight="1" spans="1:6">
      <c r="A1537" s="5">
        <v>1535</v>
      </c>
      <c r="B1537" s="5" t="str">
        <f>"36412022010310012773945"</f>
        <v>36412022010310012773945</v>
      </c>
      <c r="C1537" s="5" t="s">
        <v>32</v>
      </c>
      <c r="D1537" s="5" t="str">
        <f>"符杏燕"</f>
        <v>符杏燕</v>
      </c>
      <c r="E1537" s="5" t="str">
        <f t="shared" si="169"/>
        <v>女</v>
      </c>
      <c r="F1537" s="5" t="str">
        <f t="shared" si="167"/>
        <v>汉族</v>
      </c>
    </row>
    <row r="1538" ht="30" customHeight="1" spans="1:6">
      <c r="A1538" s="5">
        <v>1536</v>
      </c>
      <c r="B1538" s="5" t="str">
        <f>"36412022010310354474145"</f>
        <v>36412022010310354474145</v>
      </c>
      <c r="C1538" s="5" t="s">
        <v>32</v>
      </c>
      <c r="D1538" s="5" t="str">
        <f>"王小香"</f>
        <v>王小香</v>
      </c>
      <c r="E1538" s="5" t="str">
        <f t="shared" si="169"/>
        <v>女</v>
      </c>
      <c r="F1538" s="5" t="str">
        <f t="shared" si="167"/>
        <v>汉族</v>
      </c>
    </row>
    <row r="1539" ht="30" customHeight="1" spans="1:6">
      <c r="A1539" s="5">
        <v>1537</v>
      </c>
      <c r="B1539" s="5" t="str">
        <f>"36412022010311484074537"</f>
        <v>36412022010311484074537</v>
      </c>
      <c r="C1539" s="5" t="s">
        <v>32</v>
      </c>
      <c r="D1539" s="5" t="str">
        <f>"曾茜"</f>
        <v>曾茜</v>
      </c>
      <c r="E1539" s="5" t="str">
        <f t="shared" si="169"/>
        <v>女</v>
      </c>
      <c r="F1539" s="5" t="str">
        <f t="shared" si="167"/>
        <v>汉族</v>
      </c>
    </row>
    <row r="1540" ht="30" customHeight="1" spans="1:6">
      <c r="A1540" s="5">
        <v>1538</v>
      </c>
      <c r="B1540" s="5" t="str">
        <f>"36412022010311592674592"</f>
        <v>36412022010311592674592</v>
      </c>
      <c r="C1540" s="5" t="s">
        <v>32</v>
      </c>
      <c r="D1540" s="5" t="str">
        <f>"苏小妹"</f>
        <v>苏小妹</v>
      </c>
      <c r="E1540" s="5" t="str">
        <f t="shared" si="169"/>
        <v>女</v>
      </c>
      <c r="F1540" s="5" t="str">
        <f t="shared" si="167"/>
        <v>汉族</v>
      </c>
    </row>
    <row r="1541" ht="30" customHeight="1" spans="1:6">
      <c r="A1541" s="5">
        <v>1539</v>
      </c>
      <c r="B1541" s="5" t="str">
        <f>"36412022010312522474826"</f>
        <v>36412022010312522474826</v>
      </c>
      <c r="C1541" s="5" t="s">
        <v>32</v>
      </c>
      <c r="D1541" s="5" t="str">
        <f>"陈青青"</f>
        <v>陈青青</v>
      </c>
      <c r="E1541" s="5" t="str">
        <f t="shared" si="169"/>
        <v>女</v>
      </c>
      <c r="F1541" s="5" t="str">
        <f t="shared" si="167"/>
        <v>汉族</v>
      </c>
    </row>
    <row r="1542" ht="30" customHeight="1" spans="1:6">
      <c r="A1542" s="5">
        <v>1540</v>
      </c>
      <c r="B1542" s="5" t="str">
        <f>"36412022010313165674924"</f>
        <v>36412022010313165674924</v>
      </c>
      <c r="C1542" s="5" t="s">
        <v>32</v>
      </c>
      <c r="D1542" s="5" t="str">
        <f>"周德文"</f>
        <v>周德文</v>
      </c>
      <c r="E1542" s="5" t="str">
        <f>"男"</f>
        <v>男</v>
      </c>
      <c r="F1542" s="5" t="str">
        <f t="shared" si="167"/>
        <v>汉族</v>
      </c>
    </row>
    <row r="1543" ht="30" customHeight="1" spans="1:6">
      <c r="A1543" s="5">
        <v>1541</v>
      </c>
      <c r="B1543" s="5" t="str">
        <f>"36412022010314071375114"</f>
        <v>36412022010314071375114</v>
      </c>
      <c r="C1543" s="5" t="s">
        <v>32</v>
      </c>
      <c r="D1543" s="5" t="str">
        <f>"林柳红"</f>
        <v>林柳红</v>
      </c>
      <c r="E1543" s="5" t="str">
        <f>"女"</f>
        <v>女</v>
      </c>
      <c r="F1543" s="5" t="str">
        <f t="shared" si="167"/>
        <v>汉族</v>
      </c>
    </row>
    <row r="1544" ht="30" customHeight="1" spans="1:6">
      <c r="A1544" s="5">
        <v>1542</v>
      </c>
      <c r="B1544" s="5" t="str">
        <f>"36412022010314221975170"</f>
        <v>36412022010314221975170</v>
      </c>
      <c r="C1544" s="5" t="s">
        <v>32</v>
      </c>
      <c r="D1544" s="5" t="str">
        <f>"郭秀春"</f>
        <v>郭秀春</v>
      </c>
      <c r="E1544" s="5" t="str">
        <f>"女"</f>
        <v>女</v>
      </c>
      <c r="F1544" s="5" t="str">
        <f t="shared" si="167"/>
        <v>汉族</v>
      </c>
    </row>
    <row r="1545" ht="30" customHeight="1" spans="1:6">
      <c r="A1545" s="5">
        <v>1543</v>
      </c>
      <c r="B1545" s="5" t="str">
        <f>"36412022010315212575379"</f>
        <v>36412022010315212575379</v>
      </c>
      <c r="C1545" s="5" t="s">
        <v>32</v>
      </c>
      <c r="D1545" s="5" t="str">
        <f>"曾云婷"</f>
        <v>曾云婷</v>
      </c>
      <c r="E1545" s="5" t="str">
        <f>"女"</f>
        <v>女</v>
      </c>
      <c r="F1545" s="5" t="str">
        <f t="shared" si="167"/>
        <v>汉族</v>
      </c>
    </row>
    <row r="1546" ht="30" customHeight="1" spans="1:6">
      <c r="A1546" s="5">
        <v>1544</v>
      </c>
      <c r="B1546" s="5" t="str">
        <f>"36412022010316053675543"</f>
        <v>36412022010316053675543</v>
      </c>
      <c r="C1546" s="5" t="s">
        <v>32</v>
      </c>
      <c r="D1546" s="5" t="str">
        <f>"赵春莹"</f>
        <v>赵春莹</v>
      </c>
      <c r="E1546" s="5" t="str">
        <f>"女"</f>
        <v>女</v>
      </c>
      <c r="F1546" s="5" t="str">
        <f t="shared" si="167"/>
        <v>汉族</v>
      </c>
    </row>
    <row r="1547" ht="30" customHeight="1" spans="1:6">
      <c r="A1547" s="5">
        <v>1545</v>
      </c>
      <c r="B1547" s="5" t="str">
        <f>"36412022010316424075674"</f>
        <v>36412022010316424075674</v>
      </c>
      <c r="C1547" s="5" t="s">
        <v>32</v>
      </c>
      <c r="D1547" s="5" t="str">
        <f>"李文惠"</f>
        <v>李文惠</v>
      </c>
      <c r="E1547" s="5" t="str">
        <f>"女"</f>
        <v>女</v>
      </c>
      <c r="F1547" s="5" t="str">
        <f>"黎族"</f>
        <v>黎族</v>
      </c>
    </row>
    <row r="1548" ht="30" customHeight="1" spans="1:6">
      <c r="A1548" s="5">
        <v>1546</v>
      </c>
      <c r="B1548" s="5" t="str">
        <f>"36412022010321033276504"</f>
        <v>36412022010321033276504</v>
      </c>
      <c r="C1548" s="5" t="s">
        <v>32</v>
      </c>
      <c r="D1548" s="5" t="str">
        <f>"吴钟龙"</f>
        <v>吴钟龙</v>
      </c>
      <c r="E1548" s="5" t="str">
        <f>"男"</f>
        <v>男</v>
      </c>
      <c r="F1548" s="5" t="str">
        <f>"汉族"</f>
        <v>汉族</v>
      </c>
    </row>
    <row r="1549" ht="30" customHeight="1" spans="1:6">
      <c r="A1549" s="5">
        <v>1547</v>
      </c>
      <c r="B1549" s="5" t="str">
        <f>"36412022010321260476572"</f>
        <v>36412022010321260476572</v>
      </c>
      <c r="C1549" s="5" t="s">
        <v>32</v>
      </c>
      <c r="D1549" s="5" t="str">
        <f>"符国爱"</f>
        <v>符国爱</v>
      </c>
      <c r="E1549" s="5" t="str">
        <f>"女"</f>
        <v>女</v>
      </c>
      <c r="F1549" s="5" t="str">
        <f>"汉族"</f>
        <v>汉族</v>
      </c>
    </row>
    <row r="1550" ht="30" customHeight="1" spans="1:6">
      <c r="A1550" s="5">
        <v>1548</v>
      </c>
      <c r="B1550" s="5" t="str">
        <f>"36412022010321471476644"</f>
        <v>36412022010321471476644</v>
      </c>
      <c r="C1550" s="5" t="s">
        <v>32</v>
      </c>
      <c r="D1550" s="5" t="str">
        <f>"陈五女"</f>
        <v>陈五女</v>
      </c>
      <c r="E1550" s="5" t="str">
        <f>"女"</f>
        <v>女</v>
      </c>
      <c r="F1550" s="5" t="str">
        <f>"汉族"</f>
        <v>汉族</v>
      </c>
    </row>
    <row r="1551" ht="30" customHeight="1" spans="1:6">
      <c r="A1551" s="5">
        <v>1549</v>
      </c>
      <c r="B1551" s="5" t="str">
        <f>"36412022010322010976687"</f>
        <v>36412022010322010976687</v>
      </c>
      <c r="C1551" s="5" t="s">
        <v>32</v>
      </c>
      <c r="D1551" s="5" t="str">
        <f>"王慧琳"</f>
        <v>王慧琳</v>
      </c>
      <c r="E1551" s="5" t="str">
        <f>"女"</f>
        <v>女</v>
      </c>
      <c r="F1551" s="5" t="str">
        <f>"汉族"</f>
        <v>汉族</v>
      </c>
    </row>
    <row r="1552" ht="30" customHeight="1" spans="1:6">
      <c r="A1552" s="5">
        <v>1550</v>
      </c>
      <c r="B1552" s="5" t="str">
        <f>"36412022010322092276723"</f>
        <v>36412022010322092276723</v>
      </c>
      <c r="C1552" s="5" t="s">
        <v>32</v>
      </c>
      <c r="D1552" s="5" t="str">
        <f>"符美秋"</f>
        <v>符美秋</v>
      </c>
      <c r="E1552" s="5" t="str">
        <f>"女"</f>
        <v>女</v>
      </c>
      <c r="F1552" s="5" t="str">
        <f>"黎族"</f>
        <v>黎族</v>
      </c>
    </row>
    <row r="1553" ht="30" customHeight="1" spans="1:6">
      <c r="A1553" s="5">
        <v>1551</v>
      </c>
      <c r="B1553" s="5" t="str">
        <f>"36412022010401460277021"</f>
        <v>36412022010401460277021</v>
      </c>
      <c r="C1553" s="5" t="s">
        <v>32</v>
      </c>
      <c r="D1553" s="5" t="str">
        <f>"王禄云"</f>
        <v>王禄云</v>
      </c>
      <c r="E1553" s="5" t="str">
        <f>"男"</f>
        <v>男</v>
      </c>
      <c r="F1553" s="5" t="str">
        <f t="shared" ref="F1553:F1616" si="170">"汉族"</f>
        <v>汉族</v>
      </c>
    </row>
    <row r="1554" ht="30" customHeight="1" spans="1:6">
      <c r="A1554" s="5">
        <v>1552</v>
      </c>
      <c r="B1554" s="5" t="str">
        <f>"36412022010408312977199"</f>
        <v>36412022010408312977199</v>
      </c>
      <c r="C1554" s="5" t="s">
        <v>32</v>
      </c>
      <c r="D1554" s="5" t="str">
        <f>"蔡盈盈"</f>
        <v>蔡盈盈</v>
      </c>
      <c r="E1554" s="5" t="str">
        <f>"女"</f>
        <v>女</v>
      </c>
      <c r="F1554" s="5" t="str">
        <f t="shared" si="170"/>
        <v>汉族</v>
      </c>
    </row>
    <row r="1555" ht="30" customHeight="1" spans="1:6">
      <c r="A1555" s="5">
        <v>1553</v>
      </c>
      <c r="B1555" s="5" t="str">
        <f>"36412022010408413977268"</f>
        <v>36412022010408413977268</v>
      </c>
      <c r="C1555" s="5" t="s">
        <v>32</v>
      </c>
      <c r="D1555" s="5" t="str">
        <f>"陈彩玉"</f>
        <v>陈彩玉</v>
      </c>
      <c r="E1555" s="5" t="str">
        <f>"女"</f>
        <v>女</v>
      </c>
      <c r="F1555" s="5" t="str">
        <f t="shared" si="170"/>
        <v>汉族</v>
      </c>
    </row>
    <row r="1556" ht="30" customHeight="1" spans="1:6">
      <c r="A1556" s="5">
        <v>1554</v>
      </c>
      <c r="B1556" s="5" t="str">
        <f>"36412022010409030977407"</f>
        <v>36412022010409030977407</v>
      </c>
      <c r="C1556" s="5" t="s">
        <v>32</v>
      </c>
      <c r="D1556" s="5" t="str">
        <f>"符磊"</f>
        <v>符磊</v>
      </c>
      <c r="E1556" s="5" t="str">
        <f>"女"</f>
        <v>女</v>
      </c>
      <c r="F1556" s="5" t="str">
        <f t="shared" si="170"/>
        <v>汉族</v>
      </c>
    </row>
    <row r="1557" ht="30" customHeight="1" spans="1:6">
      <c r="A1557" s="5">
        <v>1555</v>
      </c>
      <c r="B1557" s="5" t="str">
        <f>"36412022010409123577489"</f>
        <v>36412022010409123577489</v>
      </c>
      <c r="C1557" s="5" t="s">
        <v>32</v>
      </c>
      <c r="D1557" s="5" t="str">
        <f>"黎博典"</f>
        <v>黎博典</v>
      </c>
      <c r="E1557" s="5" t="str">
        <f>"男"</f>
        <v>男</v>
      </c>
      <c r="F1557" s="5" t="str">
        <f t="shared" si="170"/>
        <v>汉族</v>
      </c>
    </row>
    <row r="1558" ht="30" customHeight="1" spans="1:6">
      <c r="A1558" s="5">
        <v>1556</v>
      </c>
      <c r="B1558" s="5" t="str">
        <f>"36412022010409131777493"</f>
        <v>36412022010409131777493</v>
      </c>
      <c r="C1558" s="5" t="s">
        <v>32</v>
      </c>
      <c r="D1558" s="5" t="str">
        <f>"李雪梅"</f>
        <v>李雪梅</v>
      </c>
      <c r="E1558" s="5" t="str">
        <f>"女"</f>
        <v>女</v>
      </c>
      <c r="F1558" s="5" t="str">
        <f t="shared" si="170"/>
        <v>汉族</v>
      </c>
    </row>
    <row r="1559" ht="30" customHeight="1" spans="1:6">
      <c r="A1559" s="5">
        <v>1557</v>
      </c>
      <c r="B1559" s="5" t="str">
        <f>"36412022010409223177584"</f>
        <v>36412022010409223177584</v>
      </c>
      <c r="C1559" s="5" t="s">
        <v>32</v>
      </c>
      <c r="D1559" s="5" t="str">
        <f>"卢家宏"</f>
        <v>卢家宏</v>
      </c>
      <c r="E1559" s="5" t="str">
        <f>"男"</f>
        <v>男</v>
      </c>
      <c r="F1559" s="5" t="str">
        <f t="shared" si="170"/>
        <v>汉族</v>
      </c>
    </row>
    <row r="1560" ht="30" customHeight="1" spans="1:6">
      <c r="A1560" s="5">
        <v>1558</v>
      </c>
      <c r="B1560" s="5" t="str">
        <f>"36412022010409401677721"</f>
        <v>36412022010409401677721</v>
      </c>
      <c r="C1560" s="5" t="s">
        <v>32</v>
      </c>
      <c r="D1560" s="5" t="str">
        <f>"邓德壮"</f>
        <v>邓德壮</v>
      </c>
      <c r="E1560" s="5" t="str">
        <f>"男"</f>
        <v>男</v>
      </c>
      <c r="F1560" s="5" t="str">
        <f t="shared" si="170"/>
        <v>汉族</v>
      </c>
    </row>
    <row r="1561" ht="30" customHeight="1" spans="1:6">
      <c r="A1561" s="5">
        <v>1559</v>
      </c>
      <c r="B1561" s="5" t="str">
        <f>"36412022010409502977807"</f>
        <v>36412022010409502977807</v>
      </c>
      <c r="C1561" s="5" t="s">
        <v>32</v>
      </c>
      <c r="D1561" s="5" t="str">
        <f>"徐虹翡"</f>
        <v>徐虹翡</v>
      </c>
      <c r="E1561" s="5" t="str">
        <f t="shared" ref="E1561:E1571" si="171">"女"</f>
        <v>女</v>
      </c>
      <c r="F1561" s="5" t="str">
        <f t="shared" si="170"/>
        <v>汉族</v>
      </c>
    </row>
    <row r="1562" ht="30" customHeight="1" spans="1:6">
      <c r="A1562" s="5">
        <v>1560</v>
      </c>
      <c r="B1562" s="5" t="str">
        <f>"36412022010409591677893"</f>
        <v>36412022010409591677893</v>
      </c>
      <c r="C1562" s="5" t="s">
        <v>32</v>
      </c>
      <c r="D1562" s="5" t="str">
        <f>"李兰花"</f>
        <v>李兰花</v>
      </c>
      <c r="E1562" s="5" t="str">
        <f t="shared" si="171"/>
        <v>女</v>
      </c>
      <c r="F1562" s="5" t="str">
        <f t="shared" si="170"/>
        <v>汉族</v>
      </c>
    </row>
    <row r="1563" ht="30" customHeight="1" spans="1:6">
      <c r="A1563" s="5">
        <v>1561</v>
      </c>
      <c r="B1563" s="5" t="str">
        <f>"36412022010410442878301"</f>
        <v>36412022010410442878301</v>
      </c>
      <c r="C1563" s="5" t="s">
        <v>32</v>
      </c>
      <c r="D1563" s="5" t="str">
        <f>"吴妹月"</f>
        <v>吴妹月</v>
      </c>
      <c r="E1563" s="5" t="str">
        <f t="shared" si="171"/>
        <v>女</v>
      </c>
      <c r="F1563" s="5" t="str">
        <f t="shared" si="170"/>
        <v>汉族</v>
      </c>
    </row>
    <row r="1564" ht="30" customHeight="1" spans="1:6">
      <c r="A1564" s="5">
        <v>1562</v>
      </c>
      <c r="B1564" s="5" t="str">
        <f>"36412022010411010078450"</f>
        <v>36412022010411010078450</v>
      </c>
      <c r="C1564" s="5" t="s">
        <v>32</v>
      </c>
      <c r="D1564" s="5" t="str">
        <f>"黄莹"</f>
        <v>黄莹</v>
      </c>
      <c r="E1564" s="5" t="str">
        <f t="shared" si="171"/>
        <v>女</v>
      </c>
      <c r="F1564" s="5" t="str">
        <f t="shared" si="170"/>
        <v>汉族</v>
      </c>
    </row>
    <row r="1565" ht="30" customHeight="1" spans="1:6">
      <c r="A1565" s="5">
        <v>1563</v>
      </c>
      <c r="B1565" s="5" t="str">
        <f>"36412022010412300679023"</f>
        <v>36412022010412300679023</v>
      </c>
      <c r="C1565" s="5" t="s">
        <v>32</v>
      </c>
      <c r="D1565" s="5" t="str">
        <f>"周焕妹"</f>
        <v>周焕妹</v>
      </c>
      <c r="E1565" s="5" t="str">
        <f t="shared" si="171"/>
        <v>女</v>
      </c>
      <c r="F1565" s="5" t="str">
        <f t="shared" si="170"/>
        <v>汉族</v>
      </c>
    </row>
    <row r="1566" ht="30" customHeight="1" spans="1:6">
      <c r="A1566" s="5">
        <v>1564</v>
      </c>
      <c r="B1566" s="5" t="str">
        <f>"36412022010412311179028"</f>
        <v>36412022010412311179028</v>
      </c>
      <c r="C1566" s="5" t="s">
        <v>32</v>
      </c>
      <c r="D1566" s="5" t="str">
        <f>"陈歆馨"</f>
        <v>陈歆馨</v>
      </c>
      <c r="E1566" s="5" t="str">
        <f t="shared" si="171"/>
        <v>女</v>
      </c>
      <c r="F1566" s="5" t="str">
        <f t="shared" si="170"/>
        <v>汉族</v>
      </c>
    </row>
    <row r="1567" ht="30" customHeight="1" spans="1:6">
      <c r="A1567" s="5">
        <v>1565</v>
      </c>
      <c r="B1567" s="5" t="str">
        <f>"36412022010414343279553"</f>
        <v>36412022010414343279553</v>
      </c>
      <c r="C1567" s="5" t="s">
        <v>32</v>
      </c>
      <c r="D1567" s="5" t="str">
        <f>"何丽鸾"</f>
        <v>何丽鸾</v>
      </c>
      <c r="E1567" s="5" t="str">
        <f t="shared" si="171"/>
        <v>女</v>
      </c>
      <c r="F1567" s="5" t="str">
        <f t="shared" si="170"/>
        <v>汉族</v>
      </c>
    </row>
    <row r="1568" ht="30" customHeight="1" spans="1:6">
      <c r="A1568" s="5">
        <v>1566</v>
      </c>
      <c r="B1568" s="5" t="str">
        <f>"36412022010414530579643"</f>
        <v>36412022010414530579643</v>
      </c>
      <c r="C1568" s="5" t="s">
        <v>32</v>
      </c>
      <c r="D1568" s="5" t="str">
        <f>"罗俏"</f>
        <v>罗俏</v>
      </c>
      <c r="E1568" s="5" t="str">
        <f t="shared" si="171"/>
        <v>女</v>
      </c>
      <c r="F1568" s="5" t="str">
        <f t="shared" si="170"/>
        <v>汉族</v>
      </c>
    </row>
    <row r="1569" ht="30" customHeight="1" spans="1:6">
      <c r="A1569" s="5">
        <v>1567</v>
      </c>
      <c r="B1569" s="5" t="str">
        <f>"36412022010415053879728"</f>
        <v>36412022010415053879728</v>
      </c>
      <c r="C1569" s="5" t="s">
        <v>32</v>
      </c>
      <c r="D1569" s="5" t="str">
        <f>"洪琼瑶"</f>
        <v>洪琼瑶</v>
      </c>
      <c r="E1569" s="5" t="str">
        <f t="shared" si="171"/>
        <v>女</v>
      </c>
      <c r="F1569" s="5" t="str">
        <f t="shared" si="170"/>
        <v>汉族</v>
      </c>
    </row>
    <row r="1570" ht="30" customHeight="1" spans="1:6">
      <c r="A1570" s="5">
        <v>1568</v>
      </c>
      <c r="B1570" s="5" t="str">
        <f>"36412022010415082679745"</f>
        <v>36412022010415082679745</v>
      </c>
      <c r="C1570" s="5" t="s">
        <v>32</v>
      </c>
      <c r="D1570" s="5" t="str">
        <f>"周海凤"</f>
        <v>周海凤</v>
      </c>
      <c r="E1570" s="5" t="str">
        <f t="shared" si="171"/>
        <v>女</v>
      </c>
      <c r="F1570" s="5" t="str">
        <f t="shared" si="170"/>
        <v>汉族</v>
      </c>
    </row>
    <row r="1571" ht="30" customHeight="1" spans="1:6">
      <c r="A1571" s="5">
        <v>1569</v>
      </c>
      <c r="B1571" s="5" t="str">
        <f>"36412022010415311279895"</f>
        <v>36412022010415311279895</v>
      </c>
      <c r="C1571" s="5" t="s">
        <v>32</v>
      </c>
      <c r="D1571" s="5" t="str">
        <f>"符爱孟"</f>
        <v>符爱孟</v>
      </c>
      <c r="E1571" s="5" t="str">
        <f t="shared" si="171"/>
        <v>女</v>
      </c>
      <c r="F1571" s="5" t="str">
        <f t="shared" si="170"/>
        <v>汉族</v>
      </c>
    </row>
    <row r="1572" ht="30" customHeight="1" spans="1:6">
      <c r="A1572" s="5">
        <v>1570</v>
      </c>
      <c r="B1572" s="5" t="str">
        <f>"36412022010415490480026"</f>
        <v>36412022010415490480026</v>
      </c>
      <c r="C1572" s="5" t="s">
        <v>32</v>
      </c>
      <c r="D1572" s="5" t="str">
        <f>"吴挺川"</f>
        <v>吴挺川</v>
      </c>
      <c r="E1572" s="5" t="str">
        <f>"男"</f>
        <v>男</v>
      </c>
      <c r="F1572" s="5" t="str">
        <f t="shared" si="170"/>
        <v>汉族</v>
      </c>
    </row>
    <row r="1573" ht="30" customHeight="1" spans="1:6">
      <c r="A1573" s="5">
        <v>1571</v>
      </c>
      <c r="B1573" s="5" t="str">
        <f>"36412022010416120980153"</f>
        <v>36412022010416120980153</v>
      </c>
      <c r="C1573" s="5" t="s">
        <v>32</v>
      </c>
      <c r="D1573" s="5" t="str">
        <f>"巫仙群"</f>
        <v>巫仙群</v>
      </c>
      <c r="E1573" s="5" t="str">
        <f>"女"</f>
        <v>女</v>
      </c>
      <c r="F1573" s="5" t="str">
        <f t="shared" si="170"/>
        <v>汉族</v>
      </c>
    </row>
    <row r="1574" ht="30" customHeight="1" spans="1:6">
      <c r="A1574" s="5">
        <v>1572</v>
      </c>
      <c r="B1574" s="5" t="str">
        <f>"36412022010416141880170"</f>
        <v>36412022010416141880170</v>
      </c>
      <c r="C1574" s="5" t="s">
        <v>32</v>
      </c>
      <c r="D1574" s="5" t="str">
        <f>"王彬彬"</f>
        <v>王彬彬</v>
      </c>
      <c r="E1574" s="5" t="str">
        <f>"女"</f>
        <v>女</v>
      </c>
      <c r="F1574" s="5" t="str">
        <f t="shared" si="170"/>
        <v>汉族</v>
      </c>
    </row>
    <row r="1575" ht="30" customHeight="1" spans="1:6">
      <c r="A1575" s="5">
        <v>1573</v>
      </c>
      <c r="B1575" s="5" t="str">
        <f>"36412022010416183180198"</f>
        <v>36412022010416183180198</v>
      </c>
      <c r="C1575" s="5" t="s">
        <v>32</v>
      </c>
      <c r="D1575" s="5" t="str">
        <f>"陈彩翠"</f>
        <v>陈彩翠</v>
      </c>
      <c r="E1575" s="5" t="str">
        <f>"女"</f>
        <v>女</v>
      </c>
      <c r="F1575" s="5" t="str">
        <f t="shared" si="170"/>
        <v>汉族</v>
      </c>
    </row>
    <row r="1576" ht="30" customHeight="1" spans="1:6">
      <c r="A1576" s="5">
        <v>1574</v>
      </c>
      <c r="B1576" s="5" t="str">
        <f>"36412022010417582280707"</f>
        <v>36412022010417582280707</v>
      </c>
      <c r="C1576" s="5" t="s">
        <v>32</v>
      </c>
      <c r="D1576" s="5" t="str">
        <f>"王彩银"</f>
        <v>王彩银</v>
      </c>
      <c r="E1576" s="5" t="str">
        <f>"女"</f>
        <v>女</v>
      </c>
      <c r="F1576" s="5" t="str">
        <f t="shared" si="170"/>
        <v>汉族</v>
      </c>
    </row>
    <row r="1577" ht="30" customHeight="1" spans="1:6">
      <c r="A1577" s="5">
        <v>1575</v>
      </c>
      <c r="B1577" s="5" t="str">
        <f>"36412022010418415080895"</f>
        <v>36412022010418415080895</v>
      </c>
      <c r="C1577" s="5" t="s">
        <v>32</v>
      </c>
      <c r="D1577" s="5" t="str">
        <f>"李海生"</f>
        <v>李海生</v>
      </c>
      <c r="E1577" s="5" t="str">
        <f>"男"</f>
        <v>男</v>
      </c>
      <c r="F1577" s="5" t="str">
        <f t="shared" si="170"/>
        <v>汉族</v>
      </c>
    </row>
    <row r="1578" ht="30" customHeight="1" spans="1:6">
      <c r="A1578" s="5">
        <v>1576</v>
      </c>
      <c r="B1578" s="5" t="str">
        <f>"36412022010419212681092"</f>
        <v>36412022010419212681092</v>
      </c>
      <c r="C1578" s="5" t="s">
        <v>32</v>
      </c>
      <c r="D1578" s="5" t="str">
        <f>"邓晓倩"</f>
        <v>邓晓倩</v>
      </c>
      <c r="E1578" s="5" t="str">
        <f>"女"</f>
        <v>女</v>
      </c>
      <c r="F1578" s="5" t="str">
        <f t="shared" si="170"/>
        <v>汉族</v>
      </c>
    </row>
    <row r="1579" ht="30" customHeight="1" spans="1:6">
      <c r="A1579" s="5">
        <v>1577</v>
      </c>
      <c r="B1579" s="5" t="str">
        <f>"36412022010419470881208"</f>
        <v>36412022010419470881208</v>
      </c>
      <c r="C1579" s="5" t="s">
        <v>32</v>
      </c>
      <c r="D1579" s="5" t="str">
        <f>"陈德楼"</f>
        <v>陈德楼</v>
      </c>
      <c r="E1579" s="5" t="str">
        <f>"女"</f>
        <v>女</v>
      </c>
      <c r="F1579" s="5" t="str">
        <f t="shared" si="170"/>
        <v>汉族</v>
      </c>
    </row>
    <row r="1580" ht="30" customHeight="1" spans="1:6">
      <c r="A1580" s="5">
        <v>1578</v>
      </c>
      <c r="B1580" s="5" t="str">
        <f>"36412022010419584281265"</f>
        <v>36412022010419584281265</v>
      </c>
      <c r="C1580" s="5" t="s">
        <v>32</v>
      </c>
      <c r="D1580" s="5" t="str">
        <f>"张海帅"</f>
        <v>张海帅</v>
      </c>
      <c r="E1580" s="5" t="str">
        <f>"男"</f>
        <v>男</v>
      </c>
      <c r="F1580" s="5" t="str">
        <f t="shared" si="170"/>
        <v>汉族</v>
      </c>
    </row>
    <row r="1581" ht="30" customHeight="1" spans="1:6">
      <c r="A1581" s="5">
        <v>1579</v>
      </c>
      <c r="B1581" s="5" t="str">
        <f>"36412022010420244981396"</f>
        <v>36412022010420244981396</v>
      </c>
      <c r="C1581" s="5" t="s">
        <v>32</v>
      </c>
      <c r="D1581" s="5" t="str">
        <f>"李妹"</f>
        <v>李妹</v>
      </c>
      <c r="E1581" s="5" t="str">
        <f>"女"</f>
        <v>女</v>
      </c>
      <c r="F1581" s="5" t="str">
        <f t="shared" si="170"/>
        <v>汉族</v>
      </c>
    </row>
    <row r="1582" ht="30" customHeight="1" spans="1:6">
      <c r="A1582" s="5">
        <v>1580</v>
      </c>
      <c r="B1582" s="5" t="str">
        <f>"36412022010421242781704"</f>
        <v>36412022010421242781704</v>
      </c>
      <c r="C1582" s="5" t="s">
        <v>32</v>
      </c>
      <c r="D1582" s="5" t="str">
        <f>"郭江霞"</f>
        <v>郭江霞</v>
      </c>
      <c r="E1582" s="5" t="str">
        <f>"女"</f>
        <v>女</v>
      </c>
      <c r="F1582" s="5" t="str">
        <f t="shared" si="170"/>
        <v>汉族</v>
      </c>
    </row>
    <row r="1583" ht="30" customHeight="1" spans="1:6">
      <c r="A1583" s="5">
        <v>1581</v>
      </c>
      <c r="B1583" s="5" t="str">
        <f>"36412022010421325981738"</f>
        <v>36412022010421325981738</v>
      </c>
      <c r="C1583" s="5" t="s">
        <v>32</v>
      </c>
      <c r="D1583" s="5" t="str">
        <f>"翁杨琳"</f>
        <v>翁杨琳</v>
      </c>
      <c r="E1583" s="5" t="str">
        <f>"女"</f>
        <v>女</v>
      </c>
      <c r="F1583" s="5" t="str">
        <f t="shared" si="170"/>
        <v>汉族</v>
      </c>
    </row>
    <row r="1584" ht="30" customHeight="1" spans="1:6">
      <c r="A1584" s="5">
        <v>1582</v>
      </c>
      <c r="B1584" s="5" t="str">
        <f>"36412022010422290681949"</f>
        <v>36412022010422290681949</v>
      </c>
      <c r="C1584" s="5" t="s">
        <v>32</v>
      </c>
      <c r="D1584" s="5" t="str">
        <f>"何振柳"</f>
        <v>何振柳</v>
      </c>
      <c r="E1584" s="5" t="str">
        <f>"女"</f>
        <v>女</v>
      </c>
      <c r="F1584" s="5" t="str">
        <f t="shared" si="170"/>
        <v>汉族</v>
      </c>
    </row>
    <row r="1585" ht="30" customHeight="1" spans="1:6">
      <c r="A1585" s="5">
        <v>1583</v>
      </c>
      <c r="B1585" s="5" t="str">
        <f>"36412022010423082182088"</f>
        <v>36412022010423082182088</v>
      </c>
      <c r="C1585" s="5" t="s">
        <v>32</v>
      </c>
      <c r="D1585" s="5" t="str">
        <f>"曾宪政"</f>
        <v>曾宪政</v>
      </c>
      <c r="E1585" s="5" t="str">
        <f>"男"</f>
        <v>男</v>
      </c>
      <c r="F1585" s="5" t="str">
        <f t="shared" si="170"/>
        <v>汉族</v>
      </c>
    </row>
    <row r="1586" ht="30" customHeight="1" spans="1:6">
      <c r="A1586" s="5">
        <v>1584</v>
      </c>
      <c r="B1586" s="5" t="str">
        <f>"36412022010501084182290"</f>
        <v>36412022010501084182290</v>
      </c>
      <c r="C1586" s="5" t="s">
        <v>32</v>
      </c>
      <c r="D1586" s="5" t="str">
        <f>"邓芳荞"</f>
        <v>邓芳荞</v>
      </c>
      <c r="E1586" s="5" t="str">
        <f>"女"</f>
        <v>女</v>
      </c>
      <c r="F1586" s="5" t="str">
        <f t="shared" si="170"/>
        <v>汉族</v>
      </c>
    </row>
    <row r="1587" ht="30" customHeight="1" spans="1:6">
      <c r="A1587" s="5">
        <v>1585</v>
      </c>
      <c r="B1587" s="5" t="str">
        <f>"36412022010508173082388"</f>
        <v>36412022010508173082388</v>
      </c>
      <c r="C1587" s="5" t="s">
        <v>32</v>
      </c>
      <c r="D1587" s="5" t="str">
        <f>"陈承凤"</f>
        <v>陈承凤</v>
      </c>
      <c r="E1587" s="5" t="str">
        <f>"女"</f>
        <v>女</v>
      </c>
      <c r="F1587" s="5" t="str">
        <f t="shared" si="170"/>
        <v>汉族</v>
      </c>
    </row>
    <row r="1588" ht="30" customHeight="1" spans="1:6">
      <c r="A1588" s="5">
        <v>1586</v>
      </c>
      <c r="B1588" s="5" t="str">
        <f>"36412022010508383482433"</f>
        <v>36412022010508383482433</v>
      </c>
      <c r="C1588" s="5" t="s">
        <v>32</v>
      </c>
      <c r="D1588" s="5" t="str">
        <f>"冯丽萍"</f>
        <v>冯丽萍</v>
      </c>
      <c r="E1588" s="5" t="str">
        <f>"女"</f>
        <v>女</v>
      </c>
      <c r="F1588" s="5" t="str">
        <f t="shared" si="170"/>
        <v>汉族</v>
      </c>
    </row>
    <row r="1589" ht="30" customHeight="1" spans="1:6">
      <c r="A1589" s="5">
        <v>1587</v>
      </c>
      <c r="B1589" s="5" t="str">
        <f>"36412022010508430682445"</f>
        <v>36412022010508430682445</v>
      </c>
      <c r="C1589" s="5" t="s">
        <v>32</v>
      </c>
      <c r="D1589" s="5" t="str">
        <f>"杨顺"</f>
        <v>杨顺</v>
      </c>
      <c r="E1589" s="5" t="str">
        <f>"男"</f>
        <v>男</v>
      </c>
      <c r="F1589" s="5" t="str">
        <f t="shared" si="170"/>
        <v>汉族</v>
      </c>
    </row>
    <row r="1590" ht="30" customHeight="1" spans="1:6">
      <c r="A1590" s="5">
        <v>1588</v>
      </c>
      <c r="B1590" s="5" t="str">
        <f>"36412022010508593782494"</f>
        <v>36412022010508593782494</v>
      </c>
      <c r="C1590" s="5" t="s">
        <v>32</v>
      </c>
      <c r="D1590" s="5" t="str">
        <f>"刘红晨"</f>
        <v>刘红晨</v>
      </c>
      <c r="E1590" s="5" t="str">
        <f>"男"</f>
        <v>男</v>
      </c>
      <c r="F1590" s="5" t="str">
        <f t="shared" si="170"/>
        <v>汉族</v>
      </c>
    </row>
    <row r="1591" ht="30" customHeight="1" spans="1:6">
      <c r="A1591" s="5">
        <v>1589</v>
      </c>
      <c r="B1591" s="5" t="str">
        <f>"36412022010509020182514"</f>
        <v>36412022010509020182514</v>
      </c>
      <c r="C1591" s="5" t="s">
        <v>32</v>
      </c>
      <c r="D1591" s="5" t="str">
        <f>"符芝玲"</f>
        <v>符芝玲</v>
      </c>
      <c r="E1591" s="5" t="str">
        <f t="shared" ref="E1591:E1604" si="172">"女"</f>
        <v>女</v>
      </c>
      <c r="F1591" s="5" t="str">
        <f t="shared" si="170"/>
        <v>汉族</v>
      </c>
    </row>
    <row r="1592" ht="30" customHeight="1" spans="1:6">
      <c r="A1592" s="5">
        <v>1590</v>
      </c>
      <c r="B1592" s="5" t="str">
        <f>"36412022010510021082863"</f>
        <v>36412022010510021082863</v>
      </c>
      <c r="C1592" s="5" t="s">
        <v>32</v>
      </c>
      <c r="D1592" s="5" t="str">
        <f>"陶婷婷"</f>
        <v>陶婷婷</v>
      </c>
      <c r="E1592" s="5" t="str">
        <f t="shared" si="172"/>
        <v>女</v>
      </c>
      <c r="F1592" s="5" t="str">
        <f t="shared" si="170"/>
        <v>汉族</v>
      </c>
    </row>
    <row r="1593" ht="30" customHeight="1" spans="1:6">
      <c r="A1593" s="5">
        <v>1591</v>
      </c>
      <c r="B1593" s="5" t="str">
        <f>"36412022010510085482905"</f>
        <v>36412022010510085482905</v>
      </c>
      <c r="C1593" s="5" t="s">
        <v>32</v>
      </c>
      <c r="D1593" s="5" t="str">
        <f>"陈丽娇"</f>
        <v>陈丽娇</v>
      </c>
      <c r="E1593" s="5" t="str">
        <f t="shared" si="172"/>
        <v>女</v>
      </c>
      <c r="F1593" s="5" t="str">
        <f t="shared" si="170"/>
        <v>汉族</v>
      </c>
    </row>
    <row r="1594" ht="30" customHeight="1" spans="1:6">
      <c r="A1594" s="5">
        <v>1592</v>
      </c>
      <c r="B1594" s="5" t="str">
        <f>"36412022010510225382996"</f>
        <v>36412022010510225382996</v>
      </c>
      <c r="C1594" s="5" t="s">
        <v>32</v>
      </c>
      <c r="D1594" s="5" t="str">
        <f>"郭小慧"</f>
        <v>郭小慧</v>
      </c>
      <c r="E1594" s="5" t="str">
        <f t="shared" si="172"/>
        <v>女</v>
      </c>
      <c r="F1594" s="5" t="str">
        <f t="shared" si="170"/>
        <v>汉族</v>
      </c>
    </row>
    <row r="1595" ht="30" customHeight="1" spans="1:6">
      <c r="A1595" s="5">
        <v>1593</v>
      </c>
      <c r="B1595" s="5" t="str">
        <f>"36412022010510390383106"</f>
        <v>36412022010510390383106</v>
      </c>
      <c r="C1595" s="5" t="s">
        <v>32</v>
      </c>
      <c r="D1595" s="5" t="str">
        <f>"陈东霞"</f>
        <v>陈东霞</v>
      </c>
      <c r="E1595" s="5" t="str">
        <f t="shared" si="172"/>
        <v>女</v>
      </c>
      <c r="F1595" s="5" t="str">
        <f t="shared" si="170"/>
        <v>汉族</v>
      </c>
    </row>
    <row r="1596" ht="30" customHeight="1" spans="1:6">
      <c r="A1596" s="5">
        <v>1594</v>
      </c>
      <c r="B1596" s="5" t="str">
        <f>"36412022010510441883151"</f>
        <v>36412022010510441883151</v>
      </c>
      <c r="C1596" s="5" t="s">
        <v>32</v>
      </c>
      <c r="D1596" s="5" t="str">
        <f>"郑心怡"</f>
        <v>郑心怡</v>
      </c>
      <c r="E1596" s="5" t="str">
        <f t="shared" si="172"/>
        <v>女</v>
      </c>
      <c r="F1596" s="5" t="str">
        <f t="shared" si="170"/>
        <v>汉族</v>
      </c>
    </row>
    <row r="1597" ht="30" customHeight="1" spans="1:6">
      <c r="A1597" s="5">
        <v>1595</v>
      </c>
      <c r="B1597" s="5" t="str">
        <f>"36412022010511022683285"</f>
        <v>36412022010511022683285</v>
      </c>
      <c r="C1597" s="5" t="s">
        <v>32</v>
      </c>
      <c r="D1597" s="5" t="str">
        <f>"黄少梅"</f>
        <v>黄少梅</v>
      </c>
      <c r="E1597" s="5" t="str">
        <f t="shared" si="172"/>
        <v>女</v>
      </c>
      <c r="F1597" s="5" t="str">
        <f t="shared" si="170"/>
        <v>汉族</v>
      </c>
    </row>
    <row r="1598" ht="30" customHeight="1" spans="1:6">
      <c r="A1598" s="5">
        <v>1596</v>
      </c>
      <c r="B1598" s="5" t="str">
        <f>"36412022010511243683425"</f>
        <v>36412022010511243683425</v>
      </c>
      <c r="C1598" s="5" t="s">
        <v>32</v>
      </c>
      <c r="D1598" s="5" t="str">
        <f>"符梅爱"</f>
        <v>符梅爱</v>
      </c>
      <c r="E1598" s="5" t="str">
        <f t="shared" si="172"/>
        <v>女</v>
      </c>
      <c r="F1598" s="5" t="str">
        <f t="shared" si="170"/>
        <v>汉族</v>
      </c>
    </row>
    <row r="1599" ht="30" customHeight="1" spans="1:6">
      <c r="A1599" s="5">
        <v>1597</v>
      </c>
      <c r="B1599" s="5" t="str">
        <f>"36412022010511460783556"</f>
        <v>36412022010511460783556</v>
      </c>
      <c r="C1599" s="5" t="s">
        <v>32</v>
      </c>
      <c r="D1599" s="5" t="str">
        <f>"陈冠娥"</f>
        <v>陈冠娥</v>
      </c>
      <c r="E1599" s="5" t="str">
        <f t="shared" si="172"/>
        <v>女</v>
      </c>
      <c r="F1599" s="5" t="str">
        <f t="shared" si="170"/>
        <v>汉族</v>
      </c>
    </row>
    <row r="1600" ht="30" customHeight="1" spans="1:6">
      <c r="A1600" s="5">
        <v>1598</v>
      </c>
      <c r="B1600" s="5" t="str">
        <f>"36412022010511495683578"</f>
        <v>36412022010511495683578</v>
      </c>
      <c r="C1600" s="5" t="s">
        <v>32</v>
      </c>
      <c r="D1600" s="5" t="str">
        <f>"王雅游"</f>
        <v>王雅游</v>
      </c>
      <c r="E1600" s="5" t="str">
        <f t="shared" si="172"/>
        <v>女</v>
      </c>
      <c r="F1600" s="5" t="str">
        <f t="shared" si="170"/>
        <v>汉族</v>
      </c>
    </row>
    <row r="1601" ht="30" customHeight="1" spans="1:6">
      <c r="A1601" s="5">
        <v>1599</v>
      </c>
      <c r="B1601" s="5" t="str">
        <f>"36412022010511580383613"</f>
        <v>36412022010511580383613</v>
      </c>
      <c r="C1601" s="5" t="s">
        <v>32</v>
      </c>
      <c r="D1601" s="5" t="str">
        <f>"殷清妍"</f>
        <v>殷清妍</v>
      </c>
      <c r="E1601" s="5" t="str">
        <f t="shared" si="172"/>
        <v>女</v>
      </c>
      <c r="F1601" s="5" t="str">
        <f t="shared" si="170"/>
        <v>汉族</v>
      </c>
    </row>
    <row r="1602" ht="30" customHeight="1" spans="1:6">
      <c r="A1602" s="5">
        <v>1600</v>
      </c>
      <c r="B1602" s="5" t="str">
        <f>"36412022010512194983690"</f>
        <v>36412022010512194983690</v>
      </c>
      <c r="C1602" s="5" t="s">
        <v>32</v>
      </c>
      <c r="D1602" s="5" t="str">
        <f>"周炳丹"</f>
        <v>周炳丹</v>
      </c>
      <c r="E1602" s="5" t="str">
        <f t="shared" si="172"/>
        <v>女</v>
      </c>
      <c r="F1602" s="5" t="str">
        <f t="shared" si="170"/>
        <v>汉族</v>
      </c>
    </row>
    <row r="1603" ht="30" customHeight="1" spans="1:6">
      <c r="A1603" s="5">
        <v>1601</v>
      </c>
      <c r="B1603" s="5" t="str">
        <f>"36412022010513295284022"</f>
        <v>36412022010513295284022</v>
      </c>
      <c r="C1603" s="5" t="s">
        <v>32</v>
      </c>
      <c r="D1603" s="5" t="str">
        <f>"何吉花"</f>
        <v>何吉花</v>
      </c>
      <c r="E1603" s="5" t="str">
        <f t="shared" si="172"/>
        <v>女</v>
      </c>
      <c r="F1603" s="5" t="str">
        <f t="shared" si="170"/>
        <v>汉族</v>
      </c>
    </row>
    <row r="1604" ht="30" customHeight="1" spans="1:6">
      <c r="A1604" s="5">
        <v>1602</v>
      </c>
      <c r="B1604" s="5" t="str">
        <f>"36412022010514323584301"</f>
        <v>36412022010514323584301</v>
      </c>
      <c r="C1604" s="5" t="s">
        <v>32</v>
      </c>
      <c r="D1604" s="5" t="str">
        <f>"赵秀娇"</f>
        <v>赵秀娇</v>
      </c>
      <c r="E1604" s="5" t="str">
        <f t="shared" si="172"/>
        <v>女</v>
      </c>
      <c r="F1604" s="5" t="str">
        <f t="shared" si="170"/>
        <v>汉族</v>
      </c>
    </row>
    <row r="1605" ht="30" customHeight="1" spans="1:6">
      <c r="A1605" s="5">
        <v>1603</v>
      </c>
      <c r="B1605" s="5" t="str">
        <f>"36412022010515224884569"</f>
        <v>36412022010515224884569</v>
      </c>
      <c r="C1605" s="5" t="s">
        <v>32</v>
      </c>
      <c r="D1605" s="5" t="str">
        <f>"卢海能"</f>
        <v>卢海能</v>
      </c>
      <c r="E1605" s="5" t="str">
        <f>"男"</f>
        <v>男</v>
      </c>
      <c r="F1605" s="5" t="str">
        <f t="shared" si="170"/>
        <v>汉族</v>
      </c>
    </row>
    <row r="1606" ht="30" customHeight="1" spans="1:6">
      <c r="A1606" s="5">
        <v>1604</v>
      </c>
      <c r="B1606" s="5" t="str">
        <f>"36412022010515470884718"</f>
        <v>36412022010515470884718</v>
      </c>
      <c r="C1606" s="5" t="s">
        <v>32</v>
      </c>
      <c r="D1606" s="5" t="str">
        <f>"何桂玉"</f>
        <v>何桂玉</v>
      </c>
      <c r="E1606" s="5" t="str">
        <f t="shared" ref="E1606:E1630" si="173">"女"</f>
        <v>女</v>
      </c>
      <c r="F1606" s="5" t="str">
        <f t="shared" si="170"/>
        <v>汉族</v>
      </c>
    </row>
    <row r="1607" ht="30" customHeight="1" spans="1:6">
      <c r="A1607" s="5">
        <v>1605</v>
      </c>
      <c r="B1607" s="5" t="str">
        <f>"36412022010515590884790"</f>
        <v>36412022010515590884790</v>
      </c>
      <c r="C1607" s="5" t="s">
        <v>32</v>
      </c>
      <c r="D1607" s="5" t="str">
        <f>"林姑"</f>
        <v>林姑</v>
      </c>
      <c r="E1607" s="5" t="str">
        <f t="shared" si="173"/>
        <v>女</v>
      </c>
      <c r="F1607" s="5" t="str">
        <f t="shared" si="170"/>
        <v>汉族</v>
      </c>
    </row>
    <row r="1608" ht="30" customHeight="1" spans="1:6">
      <c r="A1608" s="5">
        <v>1606</v>
      </c>
      <c r="B1608" s="5" t="str">
        <f>"36412022010516051184818"</f>
        <v>36412022010516051184818</v>
      </c>
      <c r="C1608" s="5" t="s">
        <v>32</v>
      </c>
      <c r="D1608" s="5" t="str">
        <f>"陈巧敏"</f>
        <v>陈巧敏</v>
      </c>
      <c r="E1608" s="5" t="str">
        <f t="shared" si="173"/>
        <v>女</v>
      </c>
      <c r="F1608" s="5" t="str">
        <f t="shared" si="170"/>
        <v>汉族</v>
      </c>
    </row>
    <row r="1609" ht="30" customHeight="1" spans="1:6">
      <c r="A1609" s="5">
        <v>1607</v>
      </c>
      <c r="B1609" s="5" t="str">
        <f>"36412022010516305084941"</f>
        <v>36412022010516305084941</v>
      </c>
      <c r="C1609" s="5" t="s">
        <v>32</v>
      </c>
      <c r="D1609" s="5" t="str">
        <f>"吴周少"</f>
        <v>吴周少</v>
      </c>
      <c r="E1609" s="5" t="str">
        <f t="shared" si="173"/>
        <v>女</v>
      </c>
      <c r="F1609" s="5" t="str">
        <f t="shared" si="170"/>
        <v>汉族</v>
      </c>
    </row>
    <row r="1610" ht="30" customHeight="1" spans="1:6">
      <c r="A1610" s="5">
        <v>1608</v>
      </c>
      <c r="B1610" s="5" t="str">
        <f>"36412022010517403385276"</f>
        <v>36412022010517403385276</v>
      </c>
      <c r="C1610" s="5" t="s">
        <v>32</v>
      </c>
      <c r="D1610" s="5" t="str">
        <f>"陈焕翠"</f>
        <v>陈焕翠</v>
      </c>
      <c r="E1610" s="5" t="str">
        <f t="shared" si="173"/>
        <v>女</v>
      </c>
      <c r="F1610" s="5" t="str">
        <f t="shared" si="170"/>
        <v>汉族</v>
      </c>
    </row>
    <row r="1611" ht="30" customHeight="1" spans="1:6">
      <c r="A1611" s="5">
        <v>1609</v>
      </c>
      <c r="B1611" s="5" t="str">
        <f>"36412022010518202685426"</f>
        <v>36412022010518202685426</v>
      </c>
      <c r="C1611" s="5" t="s">
        <v>32</v>
      </c>
      <c r="D1611" s="5" t="str">
        <f>"陈泰茜"</f>
        <v>陈泰茜</v>
      </c>
      <c r="E1611" s="5" t="str">
        <f t="shared" si="173"/>
        <v>女</v>
      </c>
      <c r="F1611" s="5" t="str">
        <f t="shared" si="170"/>
        <v>汉族</v>
      </c>
    </row>
    <row r="1612" ht="30" customHeight="1" spans="1:6">
      <c r="A1612" s="5">
        <v>1610</v>
      </c>
      <c r="B1612" s="5" t="str">
        <f>"36412022010518334985479"</f>
        <v>36412022010518334985479</v>
      </c>
      <c r="C1612" s="5" t="s">
        <v>32</v>
      </c>
      <c r="D1612" s="5" t="str">
        <f>"云雨茵"</f>
        <v>云雨茵</v>
      </c>
      <c r="E1612" s="5" t="str">
        <f t="shared" si="173"/>
        <v>女</v>
      </c>
      <c r="F1612" s="5" t="str">
        <f t="shared" si="170"/>
        <v>汉族</v>
      </c>
    </row>
    <row r="1613" ht="30" customHeight="1" spans="1:6">
      <c r="A1613" s="5">
        <v>1611</v>
      </c>
      <c r="B1613" s="5" t="str">
        <f>"36412022010519411485713"</f>
        <v>36412022010519411485713</v>
      </c>
      <c r="C1613" s="5" t="s">
        <v>32</v>
      </c>
      <c r="D1613" s="5" t="str">
        <f>"周立欣"</f>
        <v>周立欣</v>
      </c>
      <c r="E1613" s="5" t="str">
        <f t="shared" si="173"/>
        <v>女</v>
      </c>
      <c r="F1613" s="5" t="str">
        <f t="shared" si="170"/>
        <v>汉族</v>
      </c>
    </row>
    <row r="1614" ht="30" customHeight="1" spans="1:6">
      <c r="A1614" s="5">
        <v>1612</v>
      </c>
      <c r="B1614" s="5" t="str">
        <f>"36412022010521423486291"</f>
        <v>36412022010521423486291</v>
      </c>
      <c r="C1614" s="5" t="s">
        <v>32</v>
      </c>
      <c r="D1614" s="5" t="str">
        <f>"史雪漫"</f>
        <v>史雪漫</v>
      </c>
      <c r="E1614" s="5" t="str">
        <f t="shared" si="173"/>
        <v>女</v>
      </c>
      <c r="F1614" s="5" t="str">
        <f t="shared" si="170"/>
        <v>汉族</v>
      </c>
    </row>
    <row r="1615" ht="30" customHeight="1" spans="1:6">
      <c r="A1615" s="5">
        <v>1613</v>
      </c>
      <c r="B1615" s="5" t="str">
        <f>"36412022010521430086294"</f>
        <v>36412022010521430086294</v>
      </c>
      <c r="C1615" s="5" t="s">
        <v>32</v>
      </c>
      <c r="D1615" s="5" t="str">
        <f>"曾天婷"</f>
        <v>曾天婷</v>
      </c>
      <c r="E1615" s="5" t="str">
        <f t="shared" si="173"/>
        <v>女</v>
      </c>
      <c r="F1615" s="5" t="str">
        <f t="shared" si="170"/>
        <v>汉族</v>
      </c>
    </row>
    <row r="1616" ht="30" customHeight="1" spans="1:6">
      <c r="A1616" s="5">
        <v>1614</v>
      </c>
      <c r="B1616" s="5" t="str">
        <f>"36412022010521504186335"</f>
        <v>36412022010521504186335</v>
      </c>
      <c r="C1616" s="5" t="s">
        <v>32</v>
      </c>
      <c r="D1616" s="5" t="str">
        <f>"吴秀丽"</f>
        <v>吴秀丽</v>
      </c>
      <c r="E1616" s="5" t="str">
        <f t="shared" si="173"/>
        <v>女</v>
      </c>
      <c r="F1616" s="5" t="str">
        <f t="shared" si="170"/>
        <v>汉族</v>
      </c>
    </row>
    <row r="1617" ht="30" customHeight="1" spans="1:6">
      <c r="A1617" s="5">
        <v>1615</v>
      </c>
      <c r="B1617" s="5" t="str">
        <f>"36412022010522132186420"</f>
        <v>36412022010522132186420</v>
      </c>
      <c r="C1617" s="5" t="s">
        <v>32</v>
      </c>
      <c r="D1617" s="5" t="str">
        <f>"王香梅"</f>
        <v>王香梅</v>
      </c>
      <c r="E1617" s="5" t="str">
        <f t="shared" si="173"/>
        <v>女</v>
      </c>
      <c r="F1617" s="5" t="str">
        <f t="shared" ref="F1617:F1625" si="174">"汉族"</f>
        <v>汉族</v>
      </c>
    </row>
    <row r="1618" ht="30" customHeight="1" spans="1:6">
      <c r="A1618" s="5">
        <v>1616</v>
      </c>
      <c r="B1618" s="5" t="str">
        <f>"36412022010522370386513"</f>
        <v>36412022010522370386513</v>
      </c>
      <c r="C1618" s="5" t="s">
        <v>32</v>
      </c>
      <c r="D1618" s="5" t="str">
        <f>"郭孟娟"</f>
        <v>郭孟娟</v>
      </c>
      <c r="E1618" s="5" t="str">
        <f t="shared" si="173"/>
        <v>女</v>
      </c>
      <c r="F1618" s="5" t="str">
        <f t="shared" si="174"/>
        <v>汉族</v>
      </c>
    </row>
    <row r="1619" ht="30" customHeight="1" spans="1:6">
      <c r="A1619" s="5">
        <v>1617</v>
      </c>
      <c r="B1619" s="5" t="str">
        <f>"36412022010609393187119"</f>
        <v>36412022010609393187119</v>
      </c>
      <c r="C1619" s="5" t="s">
        <v>32</v>
      </c>
      <c r="D1619" s="5" t="str">
        <f>"李秋月"</f>
        <v>李秋月</v>
      </c>
      <c r="E1619" s="5" t="str">
        <f t="shared" si="173"/>
        <v>女</v>
      </c>
      <c r="F1619" s="5" t="str">
        <f t="shared" si="174"/>
        <v>汉族</v>
      </c>
    </row>
    <row r="1620" ht="30" customHeight="1" spans="1:6">
      <c r="A1620" s="5">
        <v>1618</v>
      </c>
      <c r="B1620" s="5" t="str">
        <f>"36412022010609574787207"</f>
        <v>36412022010609574787207</v>
      </c>
      <c r="C1620" s="5" t="s">
        <v>32</v>
      </c>
      <c r="D1620" s="5" t="str">
        <f>"文美方"</f>
        <v>文美方</v>
      </c>
      <c r="E1620" s="5" t="str">
        <f t="shared" si="173"/>
        <v>女</v>
      </c>
      <c r="F1620" s="5" t="str">
        <f t="shared" si="174"/>
        <v>汉族</v>
      </c>
    </row>
    <row r="1621" ht="30" customHeight="1" spans="1:6">
      <c r="A1621" s="5">
        <v>1619</v>
      </c>
      <c r="B1621" s="5" t="str">
        <f>"36412022010610045787239"</f>
        <v>36412022010610045787239</v>
      </c>
      <c r="C1621" s="5" t="s">
        <v>32</v>
      </c>
      <c r="D1621" s="5" t="str">
        <f>"吉如科"</f>
        <v>吉如科</v>
      </c>
      <c r="E1621" s="5" t="str">
        <f t="shared" si="173"/>
        <v>女</v>
      </c>
      <c r="F1621" s="5" t="str">
        <f t="shared" si="174"/>
        <v>汉族</v>
      </c>
    </row>
    <row r="1622" ht="30" customHeight="1" spans="1:6">
      <c r="A1622" s="5">
        <v>1620</v>
      </c>
      <c r="B1622" s="5" t="str">
        <f>"36412022010610070287250"</f>
        <v>36412022010610070287250</v>
      </c>
      <c r="C1622" s="5" t="s">
        <v>32</v>
      </c>
      <c r="D1622" s="5" t="str">
        <f>"李如桂"</f>
        <v>李如桂</v>
      </c>
      <c r="E1622" s="5" t="str">
        <f t="shared" si="173"/>
        <v>女</v>
      </c>
      <c r="F1622" s="5" t="str">
        <f t="shared" si="174"/>
        <v>汉族</v>
      </c>
    </row>
    <row r="1623" ht="30" customHeight="1" spans="1:6">
      <c r="A1623" s="5">
        <v>1621</v>
      </c>
      <c r="B1623" s="5" t="str">
        <f>"36412022010610504287448"</f>
        <v>36412022010610504287448</v>
      </c>
      <c r="C1623" s="5" t="s">
        <v>32</v>
      </c>
      <c r="D1623" s="5" t="str">
        <f>"罗娟媛"</f>
        <v>罗娟媛</v>
      </c>
      <c r="E1623" s="5" t="str">
        <f t="shared" si="173"/>
        <v>女</v>
      </c>
      <c r="F1623" s="5" t="str">
        <f t="shared" si="174"/>
        <v>汉族</v>
      </c>
    </row>
    <row r="1624" ht="30" customHeight="1" spans="1:6">
      <c r="A1624" s="5">
        <v>1622</v>
      </c>
      <c r="B1624" s="5" t="str">
        <f>"36412022010615003188453"</f>
        <v>36412022010615003188453</v>
      </c>
      <c r="C1624" s="5" t="s">
        <v>32</v>
      </c>
      <c r="D1624" s="5" t="str">
        <f>"符白利"</f>
        <v>符白利</v>
      </c>
      <c r="E1624" s="5" t="str">
        <f t="shared" si="173"/>
        <v>女</v>
      </c>
      <c r="F1624" s="5" t="str">
        <f t="shared" si="174"/>
        <v>汉族</v>
      </c>
    </row>
    <row r="1625" ht="30" customHeight="1" spans="1:6">
      <c r="A1625" s="5">
        <v>1623</v>
      </c>
      <c r="B1625" s="5" t="str">
        <f>"36412022010616064388771"</f>
        <v>36412022010616064388771</v>
      </c>
      <c r="C1625" s="5" t="s">
        <v>32</v>
      </c>
      <c r="D1625" s="5" t="str">
        <f>"姚美珍"</f>
        <v>姚美珍</v>
      </c>
      <c r="E1625" s="5" t="str">
        <f t="shared" si="173"/>
        <v>女</v>
      </c>
      <c r="F1625" s="5" t="str">
        <f t="shared" si="174"/>
        <v>汉族</v>
      </c>
    </row>
    <row r="1626" ht="30" customHeight="1" spans="1:6">
      <c r="A1626" s="5">
        <v>1624</v>
      </c>
      <c r="B1626" s="5" t="str">
        <f>"36412022010617250989122"</f>
        <v>36412022010617250989122</v>
      </c>
      <c r="C1626" s="5" t="s">
        <v>32</v>
      </c>
      <c r="D1626" s="5" t="str">
        <f>"盘天娜"</f>
        <v>盘天娜</v>
      </c>
      <c r="E1626" s="5" t="str">
        <f t="shared" si="173"/>
        <v>女</v>
      </c>
      <c r="F1626" s="5" t="str">
        <f>"苗族"</f>
        <v>苗族</v>
      </c>
    </row>
    <row r="1627" ht="30" customHeight="1" spans="1:6">
      <c r="A1627" s="5">
        <v>1625</v>
      </c>
      <c r="B1627" s="5" t="str">
        <f>"36412022010617271789130"</f>
        <v>36412022010617271789130</v>
      </c>
      <c r="C1627" s="5" t="s">
        <v>32</v>
      </c>
      <c r="D1627" s="5" t="str">
        <f>"许世桃"</f>
        <v>许世桃</v>
      </c>
      <c r="E1627" s="5" t="str">
        <f t="shared" si="173"/>
        <v>女</v>
      </c>
      <c r="F1627" s="5" t="str">
        <f t="shared" ref="F1627:F1641" si="175">"汉族"</f>
        <v>汉族</v>
      </c>
    </row>
    <row r="1628" ht="30" customHeight="1" spans="1:6">
      <c r="A1628" s="5">
        <v>1626</v>
      </c>
      <c r="B1628" s="5" t="str">
        <f>"36412022010618080789257"</f>
        <v>36412022010618080789257</v>
      </c>
      <c r="C1628" s="5" t="s">
        <v>32</v>
      </c>
      <c r="D1628" s="5" t="str">
        <f>"林翠平"</f>
        <v>林翠平</v>
      </c>
      <c r="E1628" s="5" t="str">
        <f t="shared" si="173"/>
        <v>女</v>
      </c>
      <c r="F1628" s="5" t="str">
        <f t="shared" si="175"/>
        <v>汉族</v>
      </c>
    </row>
    <row r="1629" ht="30" customHeight="1" spans="1:6">
      <c r="A1629" s="5">
        <v>1627</v>
      </c>
      <c r="B1629" s="5" t="str">
        <f>"36412022010619365389525"</f>
        <v>36412022010619365389525</v>
      </c>
      <c r="C1629" s="5" t="s">
        <v>32</v>
      </c>
      <c r="D1629" s="5" t="str">
        <f>"符小换"</f>
        <v>符小换</v>
      </c>
      <c r="E1629" s="5" t="str">
        <f t="shared" si="173"/>
        <v>女</v>
      </c>
      <c r="F1629" s="5" t="str">
        <f t="shared" si="175"/>
        <v>汉族</v>
      </c>
    </row>
    <row r="1630" ht="30" customHeight="1" spans="1:6">
      <c r="A1630" s="5">
        <v>1628</v>
      </c>
      <c r="B1630" s="5" t="str">
        <f>"36412022010620073689650"</f>
        <v>36412022010620073689650</v>
      </c>
      <c r="C1630" s="5" t="s">
        <v>32</v>
      </c>
      <c r="D1630" s="5" t="str">
        <f>"梁承教"</f>
        <v>梁承教</v>
      </c>
      <c r="E1630" s="5" t="str">
        <f t="shared" si="173"/>
        <v>女</v>
      </c>
      <c r="F1630" s="5" t="str">
        <f t="shared" si="175"/>
        <v>汉族</v>
      </c>
    </row>
    <row r="1631" ht="30" customHeight="1" spans="1:6">
      <c r="A1631" s="5">
        <v>1629</v>
      </c>
      <c r="B1631" s="5" t="str">
        <f>"36412022010620185989696"</f>
        <v>36412022010620185989696</v>
      </c>
      <c r="C1631" s="5" t="s">
        <v>32</v>
      </c>
      <c r="D1631" s="5" t="str">
        <f>"吉训明"</f>
        <v>吉训明</v>
      </c>
      <c r="E1631" s="5" t="str">
        <f>"男"</f>
        <v>男</v>
      </c>
      <c r="F1631" s="5" t="str">
        <f t="shared" si="175"/>
        <v>汉族</v>
      </c>
    </row>
    <row r="1632" ht="30" customHeight="1" spans="1:6">
      <c r="A1632" s="5">
        <v>1630</v>
      </c>
      <c r="B1632" s="5" t="str">
        <f>"36412022010620354889764"</f>
        <v>36412022010620354889764</v>
      </c>
      <c r="C1632" s="5" t="s">
        <v>32</v>
      </c>
      <c r="D1632" s="5" t="str">
        <f>"李时畅"</f>
        <v>李时畅</v>
      </c>
      <c r="E1632" s="5" t="str">
        <f t="shared" ref="E1632:E1658" si="176">"女"</f>
        <v>女</v>
      </c>
      <c r="F1632" s="5" t="str">
        <f t="shared" si="175"/>
        <v>汉族</v>
      </c>
    </row>
    <row r="1633" ht="30" customHeight="1" spans="1:6">
      <c r="A1633" s="5">
        <v>1631</v>
      </c>
      <c r="B1633" s="5" t="str">
        <f>"36412022010622024690062"</f>
        <v>36412022010622024690062</v>
      </c>
      <c r="C1633" s="5" t="s">
        <v>32</v>
      </c>
      <c r="D1633" s="5" t="str">
        <f>"李玉"</f>
        <v>李玉</v>
      </c>
      <c r="E1633" s="5" t="str">
        <f t="shared" si="176"/>
        <v>女</v>
      </c>
      <c r="F1633" s="5" t="str">
        <f t="shared" si="175"/>
        <v>汉族</v>
      </c>
    </row>
    <row r="1634" ht="30" customHeight="1" spans="1:6">
      <c r="A1634" s="5">
        <v>1632</v>
      </c>
      <c r="B1634" s="5" t="str">
        <f>"36412022010711031491026"</f>
        <v>36412022010711031491026</v>
      </c>
      <c r="C1634" s="5" t="s">
        <v>32</v>
      </c>
      <c r="D1634" s="5" t="str">
        <f>"陈彬彬"</f>
        <v>陈彬彬</v>
      </c>
      <c r="E1634" s="5" t="str">
        <f t="shared" si="176"/>
        <v>女</v>
      </c>
      <c r="F1634" s="5" t="str">
        <f t="shared" si="175"/>
        <v>汉族</v>
      </c>
    </row>
    <row r="1635" ht="30" customHeight="1" spans="1:6">
      <c r="A1635" s="5">
        <v>1633</v>
      </c>
      <c r="B1635" s="5" t="str">
        <f>"36412022010711500591209"</f>
        <v>36412022010711500591209</v>
      </c>
      <c r="C1635" s="5" t="s">
        <v>32</v>
      </c>
      <c r="D1635" s="5" t="str">
        <f>"黄微"</f>
        <v>黄微</v>
      </c>
      <c r="E1635" s="5" t="str">
        <f t="shared" si="176"/>
        <v>女</v>
      </c>
      <c r="F1635" s="5" t="str">
        <f t="shared" si="175"/>
        <v>汉族</v>
      </c>
    </row>
    <row r="1636" ht="30" customHeight="1" spans="1:6">
      <c r="A1636" s="5">
        <v>1634</v>
      </c>
      <c r="B1636" s="5" t="str">
        <f>"36412022010712280991354"</f>
        <v>36412022010712280991354</v>
      </c>
      <c r="C1636" s="5" t="s">
        <v>32</v>
      </c>
      <c r="D1636" s="5" t="str">
        <f>"王伊蕾"</f>
        <v>王伊蕾</v>
      </c>
      <c r="E1636" s="5" t="str">
        <f t="shared" si="176"/>
        <v>女</v>
      </c>
      <c r="F1636" s="5" t="str">
        <f t="shared" si="175"/>
        <v>汉族</v>
      </c>
    </row>
    <row r="1637" ht="30" customHeight="1" spans="1:6">
      <c r="A1637" s="5">
        <v>1635</v>
      </c>
      <c r="B1637" s="5" t="str">
        <f>"36412022010716132392163"</f>
        <v>36412022010716132392163</v>
      </c>
      <c r="C1637" s="5" t="s">
        <v>32</v>
      </c>
      <c r="D1637" s="5" t="str">
        <f>"曾福丽"</f>
        <v>曾福丽</v>
      </c>
      <c r="E1637" s="5" t="str">
        <f t="shared" si="176"/>
        <v>女</v>
      </c>
      <c r="F1637" s="5" t="str">
        <f t="shared" si="175"/>
        <v>汉族</v>
      </c>
    </row>
    <row r="1638" ht="30" customHeight="1" spans="1:6">
      <c r="A1638" s="5">
        <v>1636</v>
      </c>
      <c r="B1638" s="5" t="str">
        <f>"36412022010716310992226"</f>
        <v>36412022010716310992226</v>
      </c>
      <c r="C1638" s="5" t="s">
        <v>32</v>
      </c>
      <c r="D1638" s="5" t="str">
        <f>"王丹丹"</f>
        <v>王丹丹</v>
      </c>
      <c r="E1638" s="5" t="str">
        <f t="shared" si="176"/>
        <v>女</v>
      </c>
      <c r="F1638" s="5" t="str">
        <f t="shared" si="175"/>
        <v>汉族</v>
      </c>
    </row>
    <row r="1639" ht="30" customHeight="1" spans="1:6">
      <c r="A1639" s="5">
        <v>1637</v>
      </c>
      <c r="B1639" s="5" t="str">
        <f>"36412022010718183892510"</f>
        <v>36412022010718183892510</v>
      </c>
      <c r="C1639" s="5" t="s">
        <v>32</v>
      </c>
      <c r="D1639" s="5" t="str">
        <f>"符继春"</f>
        <v>符继春</v>
      </c>
      <c r="E1639" s="5" t="str">
        <f t="shared" si="176"/>
        <v>女</v>
      </c>
      <c r="F1639" s="5" t="str">
        <f t="shared" si="175"/>
        <v>汉族</v>
      </c>
    </row>
    <row r="1640" ht="30" customHeight="1" spans="1:6">
      <c r="A1640" s="5">
        <v>1638</v>
      </c>
      <c r="B1640" s="5" t="str">
        <f>"36412022010719220992635"</f>
        <v>36412022010719220992635</v>
      </c>
      <c r="C1640" s="5" t="s">
        <v>32</v>
      </c>
      <c r="D1640" s="5" t="str">
        <f>"谭德娥"</f>
        <v>谭德娥</v>
      </c>
      <c r="E1640" s="5" t="str">
        <f t="shared" si="176"/>
        <v>女</v>
      </c>
      <c r="F1640" s="5" t="str">
        <f t="shared" si="175"/>
        <v>汉族</v>
      </c>
    </row>
    <row r="1641" ht="30" customHeight="1" spans="1:6">
      <c r="A1641" s="5">
        <v>1639</v>
      </c>
      <c r="B1641" s="5" t="str">
        <f>"36412022010719485392672"</f>
        <v>36412022010719485392672</v>
      </c>
      <c r="C1641" s="5" t="s">
        <v>32</v>
      </c>
      <c r="D1641" s="5" t="str">
        <f>"薛菊妹"</f>
        <v>薛菊妹</v>
      </c>
      <c r="E1641" s="5" t="str">
        <f t="shared" si="176"/>
        <v>女</v>
      </c>
      <c r="F1641" s="5" t="str">
        <f t="shared" si="175"/>
        <v>汉族</v>
      </c>
    </row>
    <row r="1642" ht="30" customHeight="1" spans="1:6">
      <c r="A1642" s="5">
        <v>1640</v>
      </c>
      <c r="B1642" s="5" t="str">
        <f>"36412022010720400692769"</f>
        <v>36412022010720400692769</v>
      </c>
      <c r="C1642" s="5" t="s">
        <v>32</v>
      </c>
      <c r="D1642" s="5" t="str">
        <f>"吴芝玲"</f>
        <v>吴芝玲</v>
      </c>
      <c r="E1642" s="5" t="str">
        <f t="shared" si="176"/>
        <v>女</v>
      </c>
      <c r="F1642" s="5" t="str">
        <f>"黎族"</f>
        <v>黎族</v>
      </c>
    </row>
    <row r="1643" ht="30" customHeight="1" spans="1:6">
      <c r="A1643" s="5">
        <v>1641</v>
      </c>
      <c r="B1643" s="5" t="str">
        <f>"36412022010801125693070"</f>
        <v>36412022010801125693070</v>
      </c>
      <c r="C1643" s="5" t="s">
        <v>32</v>
      </c>
      <c r="D1643" s="5" t="str">
        <f>"刘彩莲"</f>
        <v>刘彩莲</v>
      </c>
      <c r="E1643" s="5" t="str">
        <f t="shared" si="176"/>
        <v>女</v>
      </c>
      <c r="F1643" s="5" t="str">
        <f t="shared" ref="F1643:F1651" si="177">"汉族"</f>
        <v>汉族</v>
      </c>
    </row>
    <row r="1644" ht="30" customHeight="1" spans="1:6">
      <c r="A1644" s="5">
        <v>1642</v>
      </c>
      <c r="B1644" s="5" t="str">
        <f>"36412022010809473693165"</f>
        <v>36412022010809473693165</v>
      </c>
      <c r="C1644" s="5" t="s">
        <v>32</v>
      </c>
      <c r="D1644" s="5" t="str">
        <f>"陈孟紫"</f>
        <v>陈孟紫</v>
      </c>
      <c r="E1644" s="5" t="str">
        <f t="shared" si="176"/>
        <v>女</v>
      </c>
      <c r="F1644" s="5" t="str">
        <f t="shared" si="177"/>
        <v>汉族</v>
      </c>
    </row>
    <row r="1645" ht="30" customHeight="1" spans="1:6">
      <c r="A1645" s="5">
        <v>1643</v>
      </c>
      <c r="B1645" s="5" t="str">
        <f>"36412022010810401793226"</f>
        <v>36412022010810401793226</v>
      </c>
      <c r="C1645" s="5" t="s">
        <v>32</v>
      </c>
      <c r="D1645" s="5" t="str">
        <f>"罗树婷"</f>
        <v>罗树婷</v>
      </c>
      <c r="E1645" s="5" t="str">
        <f t="shared" si="176"/>
        <v>女</v>
      </c>
      <c r="F1645" s="5" t="str">
        <f t="shared" si="177"/>
        <v>汉族</v>
      </c>
    </row>
    <row r="1646" ht="30" customHeight="1" spans="1:6">
      <c r="A1646" s="5">
        <v>1644</v>
      </c>
      <c r="B1646" s="5" t="str">
        <f>"36412022010815582093677"</f>
        <v>36412022010815582093677</v>
      </c>
      <c r="C1646" s="5" t="s">
        <v>32</v>
      </c>
      <c r="D1646" s="5" t="str">
        <f>"王凤丹"</f>
        <v>王凤丹</v>
      </c>
      <c r="E1646" s="5" t="str">
        <f t="shared" si="176"/>
        <v>女</v>
      </c>
      <c r="F1646" s="5" t="str">
        <f t="shared" si="177"/>
        <v>汉族</v>
      </c>
    </row>
    <row r="1647" ht="30" customHeight="1" spans="1:6">
      <c r="A1647" s="5">
        <v>1645</v>
      </c>
      <c r="B1647" s="5" t="str">
        <f>"36412022010818215693910"</f>
        <v>36412022010818215693910</v>
      </c>
      <c r="C1647" s="5" t="s">
        <v>32</v>
      </c>
      <c r="D1647" s="5" t="str">
        <f>"潘文"</f>
        <v>潘文</v>
      </c>
      <c r="E1647" s="5" t="str">
        <f t="shared" si="176"/>
        <v>女</v>
      </c>
      <c r="F1647" s="5" t="str">
        <f t="shared" si="177"/>
        <v>汉族</v>
      </c>
    </row>
    <row r="1648" ht="30" customHeight="1" spans="1:6">
      <c r="A1648" s="5">
        <v>1646</v>
      </c>
      <c r="B1648" s="5" t="str">
        <f>"36412022010820331994140"</f>
        <v>36412022010820331994140</v>
      </c>
      <c r="C1648" s="5" t="s">
        <v>32</v>
      </c>
      <c r="D1648" s="5" t="str">
        <f>"谢莹莹"</f>
        <v>谢莹莹</v>
      </c>
      <c r="E1648" s="5" t="str">
        <f t="shared" si="176"/>
        <v>女</v>
      </c>
      <c r="F1648" s="5" t="str">
        <f t="shared" si="177"/>
        <v>汉族</v>
      </c>
    </row>
    <row r="1649" ht="30" customHeight="1" spans="1:6">
      <c r="A1649" s="5">
        <v>1647</v>
      </c>
      <c r="B1649" s="5" t="str">
        <f>"36412022010821152194230"</f>
        <v>36412022010821152194230</v>
      </c>
      <c r="C1649" s="5" t="s">
        <v>32</v>
      </c>
      <c r="D1649" s="5" t="str">
        <f>"陈宝桦"</f>
        <v>陈宝桦</v>
      </c>
      <c r="E1649" s="5" t="str">
        <f t="shared" si="176"/>
        <v>女</v>
      </c>
      <c r="F1649" s="5" t="str">
        <f t="shared" si="177"/>
        <v>汉族</v>
      </c>
    </row>
    <row r="1650" ht="30" customHeight="1" spans="1:6">
      <c r="A1650" s="5">
        <v>1648</v>
      </c>
      <c r="B1650" s="5" t="str">
        <f>"36412022010822400194401"</f>
        <v>36412022010822400194401</v>
      </c>
      <c r="C1650" s="5" t="s">
        <v>32</v>
      </c>
      <c r="D1650" s="5" t="str">
        <f>"孙佳益"</f>
        <v>孙佳益</v>
      </c>
      <c r="E1650" s="5" t="str">
        <f t="shared" si="176"/>
        <v>女</v>
      </c>
      <c r="F1650" s="5" t="str">
        <f t="shared" si="177"/>
        <v>汉族</v>
      </c>
    </row>
    <row r="1651" ht="30" customHeight="1" spans="1:6">
      <c r="A1651" s="5">
        <v>1649</v>
      </c>
      <c r="B1651" s="5" t="str">
        <f>"36412022010900134094537"</f>
        <v>36412022010900134094537</v>
      </c>
      <c r="C1651" s="5" t="s">
        <v>32</v>
      </c>
      <c r="D1651" s="5" t="str">
        <f>"林福曲"</f>
        <v>林福曲</v>
      </c>
      <c r="E1651" s="5" t="str">
        <f t="shared" si="176"/>
        <v>女</v>
      </c>
      <c r="F1651" s="5" t="str">
        <f t="shared" si="177"/>
        <v>汉族</v>
      </c>
    </row>
    <row r="1652" ht="30" customHeight="1" spans="1:6">
      <c r="A1652" s="5">
        <v>1650</v>
      </c>
      <c r="B1652" s="5" t="str">
        <f>"36412022010908145294606"</f>
        <v>36412022010908145294606</v>
      </c>
      <c r="C1652" s="5" t="s">
        <v>32</v>
      </c>
      <c r="D1652" s="5" t="str">
        <f>"黄钟秦"</f>
        <v>黄钟秦</v>
      </c>
      <c r="E1652" s="5" t="str">
        <f t="shared" si="176"/>
        <v>女</v>
      </c>
      <c r="F1652" s="5" t="str">
        <f>"黎族"</f>
        <v>黎族</v>
      </c>
    </row>
    <row r="1653" ht="30" customHeight="1" spans="1:6">
      <c r="A1653" s="5">
        <v>1651</v>
      </c>
      <c r="B1653" s="5" t="str">
        <f>"36412022010908303194609"</f>
        <v>36412022010908303194609</v>
      </c>
      <c r="C1653" s="5" t="s">
        <v>32</v>
      </c>
      <c r="D1653" s="5" t="str">
        <f>"王明婷"</f>
        <v>王明婷</v>
      </c>
      <c r="E1653" s="5" t="str">
        <f t="shared" si="176"/>
        <v>女</v>
      </c>
      <c r="F1653" s="5" t="str">
        <f t="shared" ref="F1653:F1674" si="178">"汉族"</f>
        <v>汉族</v>
      </c>
    </row>
    <row r="1654" ht="30" customHeight="1" spans="1:6">
      <c r="A1654" s="5">
        <v>1652</v>
      </c>
      <c r="B1654" s="5" t="str">
        <f>"36412022010910473494821"</f>
        <v>36412022010910473494821</v>
      </c>
      <c r="C1654" s="5" t="s">
        <v>32</v>
      </c>
      <c r="D1654" s="5" t="str">
        <f>"杨雅冰"</f>
        <v>杨雅冰</v>
      </c>
      <c r="E1654" s="5" t="str">
        <f t="shared" si="176"/>
        <v>女</v>
      </c>
      <c r="F1654" s="5" t="str">
        <f t="shared" si="178"/>
        <v>汉族</v>
      </c>
    </row>
    <row r="1655" ht="30" customHeight="1" spans="1:6">
      <c r="A1655" s="5">
        <v>1653</v>
      </c>
      <c r="B1655" s="5" t="str">
        <f>"36412022010911292394951"</f>
        <v>36412022010911292394951</v>
      </c>
      <c r="C1655" s="5" t="s">
        <v>32</v>
      </c>
      <c r="D1655" s="5" t="str">
        <f>"曾敏琴"</f>
        <v>曾敏琴</v>
      </c>
      <c r="E1655" s="5" t="str">
        <f t="shared" si="176"/>
        <v>女</v>
      </c>
      <c r="F1655" s="5" t="str">
        <f t="shared" si="178"/>
        <v>汉族</v>
      </c>
    </row>
    <row r="1656" ht="30" customHeight="1" spans="1:6">
      <c r="A1656" s="5">
        <v>1654</v>
      </c>
      <c r="B1656" s="5" t="str">
        <f>"36412022010911303994953"</f>
        <v>36412022010911303994953</v>
      </c>
      <c r="C1656" s="5" t="s">
        <v>32</v>
      </c>
      <c r="D1656" s="5" t="str">
        <f>"麦璐璐"</f>
        <v>麦璐璐</v>
      </c>
      <c r="E1656" s="5" t="str">
        <f t="shared" si="176"/>
        <v>女</v>
      </c>
      <c r="F1656" s="5" t="str">
        <f t="shared" si="178"/>
        <v>汉族</v>
      </c>
    </row>
    <row r="1657" ht="30" customHeight="1" spans="1:6">
      <c r="A1657" s="5">
        <v>1655</v>
      </c>
      <c r="B1657" s="5" t="str">
        <f>"36412022010914070895280"</f>
        <v>36412022010914070895280</v>
      </c>
      <c r="C1657" s="5" t="s">
        <v>32</v>
      </c>
      <c r="D1657" s="5" t="str">
        <f>"王海玲"</f>
        <v>王海玲</v>
      </c>
      <c r="E1657" s="5" t="str">
        <f t="shared" si="176"/>
        <v>女</v>
      </c>
      <c r="F1657" s="5" t="str">
        <f t="shared" si="178"/>
        <v>汉族</v>
      </c>
    </row>
    <row r="1658" ht="30" customHeight="1" spans="1:6">
      <c r="A1658" s="5">
        <v>1656</v>
      </c>
      <c r="B1658" s="5" t="str">
        <f>"36412022010915110395402"</f>
        <v>36412022010915110395402</v>
      </c>
      <c r="C1658" s="5" t="s">
        <v>32</v>
      </c>
      <c r="D1658" s="5" t="str">
        <f>"孔风曼"</f>
        <v>孔风曼</v>
      </c>
      <c r="E1658" s="5" t="str">
        <f t="shared" si="176"/>
        <v>女</v>
      </c>
      <c r="F1658" s="5" t="str">
        <f t="shared" si="178"/>
        <v>汉族</v>
      </c>
    </row>
    <row r="1659" ht="30" customHeight="1" spans="1:6">
      <c r="A1659" s="5">
        <v>1657</v>
      </c>
      <c r="B1659" s="5" t="str">
        <f>"36412022010915150995414"</f>
        <v>36412022010915150995414</v>
      </c>
      <c r="C1659" s="5" t="s">
        <v>32</v>
      </c>
      <c r="D1659" s="5" t="str">
        <f>"符启坚"</f>
        <v>符启坚</v>
      </c>
      <c r="E1659" s="5" t="str">
        <f>"男"</f>
        <v>男</v>
      </c>
      <c r="F1659" s="5" t="str">
        <f t="shared" si="178"/>
        <v>汉族</v>
      </c>
    </row>
    <row r="1660" ht="30" customHeight="1" spans="1:6">
      <c r="A1660" s="5">
        <v>1658</v>
      </c>
      <c r="B1660" s="5" t="str">
        <f>"36412022010918053995718"</f>
        <v>36412022010918053995718</v>
      </c>
      <c r="C1660" s="5" t="s">
        <v>32</v>
      </c>
      <c r="D1660" s="5" t="str">
        <f>"郭仁玲"</f>
        <v>郭仁玲</v>
      </c>
      <c r="E1660" s="5" t="str">
        <f t="shared" ref="E1660:E1682" si="179">"女"</f>
        <v>女</v>
      </c>
      <c r="F1660" s="5" t="str">
        <f t="shared" si="178"/>
        <v>汉族</v>
      </c>
    </row>
    <row r="1661" ht="30" customHeight="1" spans="1:6">
      <c r="A1661" s="5">
        <v>1659</v>
      </c>
      <c r="B1661" s="5" t="str">
        <f>"36412022010918363795755"</f>
        <v>36412022010918363795755</v>
      </c>
      <c r="C1661" s="5" t="s">
        <v>32</v>
      </c>
      <c r="D1661" s="5" t="str">
        <f>"周萍"</f>
        <v>周萍</v>
      </c>
      <c r="E1661" s="5" t="str">
        <f t="shared" si="179"/>
        <v>女</v>
      </c>
      <c r="F1661" s="5" t="str">
        <f t="shared" si="178"/>
        <v>汉族</v>
      </c>
    </row>
    <row r="1662" ht="30" customHeight="1" spans="1:6">
      <c r="A1662" s="5">
        <v>1660</v>
      </c>
      <c r="B1662" s="5" t="str">
        <f>"36412022010919233395807"</f>
        <v>36412022010919233395807</v>
      </c>
      <c r="C1662" s="5" t="s">
        <v>32</v>
      </c>
      <c r="D1662" s="5" t="str">
        <f>"徐雅丽"</f>
        <v>徐雅丽</v>
      </c>
      <c r="E1662" s="5" t="str">
        <f t="shared" si="179"/>
        <v>女</v>
      </c>
      <c r="F1662" s="5" t="str">
        <f t="shared" si="178"/>
        <v>汉族</v>
      </c>
    </row>
    <row r="1663" ht="30" customHeight="1" spans="1:6">
      <c r="A1663" s="5">
        <v>1661</v>
      </c>
      <c r="B1663" s="5" t="str">
        <f>"36412022010920070895871"</f>
        <v>36412022010920070895871</v>
      </c>
      <c r="C1663" s="5" t="s">
        <v>32</v>
      </c>
      <c r="D1663" s="5" t="str">
        <f>"谢宗胶"</f>
        <v>谢宗胶</v>
      </c>
      <c r="E1663" s="5" t="str">
        <f t="shared" si="179"/>
        <v>女</v>
      </c>
      <c r="F1663" s="5" t="str">
        <f t="shared" si="178"/>
        <v>汉族</v>
      </c>
    </row>
    <row r="1664" ht="30" customHeight="1" spans="1:6">
      <c r="A1664" s="5">
        <v>1662</v>
      </c>
      <c r="B1664" s="5" t="str">
        <f>"36412022010920194195891"</f>
        <v>36412022010920194195891</v>
      </c>
      <c r="C1664" s="5" t="s">
        <v>32</v>
      </c>
      <c r="D1664" s="5" t="str">
        <f>"冯小蔓"</f>
        <v>冯小蔓</v>
      </c>
      <c r="E1664" s="5" t="str">
        <f t="shared" si="179"/>
        <v>女</v>
      </c>
      <c r="F1664" s="5" t="str">
        <f t="shared" si="178"/>
        <v>汉族</v>
      </c>
    </row>
    <row r="1665" ht="30" customHeight="1" spans="1:6">
      <c r="A1665" s="5">
        <v>1663</v>
      </c>
      <c r="B1665" s="5" t="str">
        <f>"36412022010921083095983"</f>
        <v>36412022010921083095983</v>
      </c>
      <c r="C1665" s="5" t="s">
        <v>32</v>
      </c>
      <c r="D1665" s="5" t="str">
        <f>"陈琼瓜"</f>
        <v>陈琼瓜</v>
      </c>
      <c r="E1665" s="5" t="str">
        <f t="shared" si="179"/>
        <v>女</v>
      </c>
      <c r="F1665" s="5" t="str">
        <f t="shared" si="178"/>
        <v>汉族</v>
      </c>
    </row>
    <row r="1666" ht="30" customHeight="1" spans="1:6">
      <c r="A1666" s="5">
        <v>1664</v>
      </c>
      <c r="B1666" s="5" t="str">
        <f>"36412022010921323396020"</f>
        <v>36412022010921323396020</v>
      </c>
      <c r="C1666" s="5" t="s">
        <v>32</v>
      </c>
      <c r="D1666" s="5" t="str">
        <f>"蔡似梅"</f>
        <v>蔡似梅</v>
      </c>
      <c r="E1666" s="5" t="str">
        <f t="shared" si="179"/>
        <v>女</v>
      </c>
      <c r="F1666" s="5" t="str">
        <f t="shared" si="178"/>
        <v>汉族</v>
      </c>
    </row>
    <row r="1667" ht="30" customHeight="1" spans="1:6">
      <c r="A1667" s="5">
        <v>1665</v>
      </c>
      <c r="B1667" s="5" t="str">
        <f>"36412022010921364496037"</f>
        <v>36412022010921364496037</v>
      </c>
      <c r="C1667" s="5" t="s">
        <v>32</v>
      </c>
      <c r="D1667" s="5" t="str">
        <f>"王其妮"</f>
        <v>王其妮</v>
      </c>
      <c r="E1667" s="5" t="str">
        <f t="shared" si="179"/>
        <v>女</v>
      </c>
      <c r="F1667" s="5" t="str">
        <f t="shared" si="178"/>
        <v>汉族</v>
      </c>
    </row>
    <row r="1668" ht="30" customHeight="1" spans="1:6">
      <c r="A1668" s="5">
        <v>1666</v>
      </c>
      <c r="B1668" s="5" t="str">
        <f>"36412022010922052396096"</f>
        <v>36412022010922052396096</v>
      </c>
      <c r="C1668" s="5" t="s">
        <v>32</v>
      </c>
      <c r="D1668" s="5" t="str">
        <f>"吴云霞"</f>
        <v>吴云霞</v>
      </c>
      <c r="E1668" s="5" t="str">
        <f t="shared" si="179"/>
        <v>女</v>
      </c>
      <c r="F1668" s="5" t="str">
        <f t="shared" si="178"/>
        <v>汉族</v>
      </c>
    </row>
    <row r="1669" ht="30" customHeight="1" spans="1:6">
      <c r="A1669" s="5">
        <v>1667</v>
      </c>
      <c r="B1669" s="5" t="str">
        <f>"36412022010922240496129"</f>
        <v>36412022010922240496129</v>
      </c>
      <c r="C1669" s="5" t="s">
        <v>32</v>
      </c>
      <c r="D1669" s="5" t="str">
        <f>"符金玲"</f>
        <v>符金玲</v>
      </c>
      <c r="E1669" s="5" t="str">
        <f t="shared" si="179"/>
        <v>女</v>
      </c>
      <c r="F1669" s="5" t="str">
        <f t="shared" si="178"/>
        <v>汉族</v>
      </c>
    </row>
    <row r="1670" ht="30" customHeight="1" spans="1:6">
      <c r="A1670" s="5">
        <v>1668</v>
      </c>
      <c r="B1670" s="5" t="str">
        <f>"36412022010922314696146"</f>
        <v>36412022010922314696146</v>
      </c>
      <c r="C1670" s="5" t="s">
        <v>32</v>
      </c>
      <c r="D1670" s="5" t="str">
        <f>"苏芳慧"</f>
        <v>苏芳慧</v>
      </c>
      <c r="E1670" s="5" t="str">
        <f t="shared" si="179"/>
        <v>女</v>
      </c>
      <c r="F1670" s="5" t="str">
        <f t="shared" si="178"/>
        <v>汉族</v>
      </c>
    </row>
    <row r="1671" ht="30" customHeight="1" spans="1:6">
      <c r="A1671" s="5">
        <v>1669</v>
      </c>
      <c r="B1671" s="5" t="str">
        <f>"36412022010922344196155"</f>
        <v>36412022010922344196155</v>
      </c>
      <c r="C1671" s="5" t="s">
        <v>32</v>
      </c>
      <c r="D1671" s="5" t="str">
        <f>"陈云仙"</f>
        <v>陈云仙</v>
      </c>
      <c r="E1671" s="5" t="str">
        <f t="shared" si="179"/>
        <v>女</v>
      </c>
      <c r="F1671" s="5" t="str">
        <f t="shared" si="178"/>
        <v>汉族</v>
      </c>
    </row>
    <row r="1672" ht="30" customHeight="1" spans="1:6">
      <c r="A1672" s="5">
        <v>1670</v>
      </c>
      <c r="B1672" s="5" t="str">
        <f>"36412022010922420296163"</f>
        <v>36412022010922420296163</v>
      </c>
      <c r="C1672" s="5" t="s">
        <v>32</v>
      </c>
      <c r="D1672" s="5" t="str">
        <f>"钟琼振"</f>
        <v>钟琼振</v>
      </c>
      <c r="E1672" s="5" t="str">
        <f t="shared" si="179"/>
        <v>女</v>
      </c>
      <c r="F1672" s="5" t="str">
        <f t="shared" si="178"/>
        <v>汉族</v>
      </c>
    </row>
    <row r="1673" ht="30" customHeight="1" spans="1:6">
      <c r="A1673" s="5">
        <v>1671</v>
      </c>
      <c r="B1673" s="5" t="str">
        <f>"36412022010922432396166"</f>
        <v>36412022010922432396166</v>
      </c>
      <c r="C1673" s="5" t="s">
        <v>32</v>
      </c>
      <c r="D1673" s="5" t="str">
        <f>"黄梦婷"</f>
        <v>黄梦婷</v>
      </c>
      <c r="E1673" s="5" t="str">
        <f t="shared" si="179"/>
        <v>女</v>
      </c>
      <c r="F1673" s="5" t="str">
        <f t="shared" si="178"/>
        <v>汉族</v>
      </c>
    </row>
    <row r="1674" ht="30" customHeight="1" spans="1:6">
      <c r="A1674" s="5">
        <v>1672</v>
      </c>
      <c r="B1674" s="5" t="str">
        <f>"36412022010923352296226"</f>
        <v>36412022010923352296226</v>
      </c>
      <c r="C1674" s="5" t="s">
        <v>32</v>
      </c>
      <c r="D1674" s="5" t="str">
        <f>"吉婉玉"</f>
        <v>吉婉玉</v>
      </c>
      <c r="E1674" s="5" t="str">
        <f t="shared" si="179"/>
        <v>女</v>
      </c>
      <c r="F1674" s="5" t="str">
        <f t="shared" si="178"/>
        <v>汉族</v>
      </c>
    </row>
    <row r="1675" ht="30" customHeight="1" spans="1:6">
      <c r="A1675" s="5">
        <v>1673</v>
      </c>
      <c r="B1675" s="5" t="str">
        <f>"36412022010923382596234"</f>
        <v>36412022010923382596234</v>
      </c>
      <c r="C1675" s="5" t="s">
        <v>32</v>
      </c>
      <c r="D1675" s="5" t="str">
        <f>"符杰义"</f>
        <v>符杰义</v>
      </c>
      <c r="E1675" s="5" t="str">
        <f t="shared" si="179"/>
        <v>女</v>
      </c>
      <c r="F1675" s="5" t="str">
        <f>"黎族"</f>
        <v>黎族</v>
      </c>
    </row>
    <row r="1676" ht="30" customHeight="1" spans="1:6">
      <c r="A1676" s="5">
        <v>1674</v>
      </c>
      <c r="B1676" s="5" t="str">
        <f>"36412022011008260896357"</f>
        <v>36412022011008260896357</v>
      </c>
      <c r="C1676" s="5" t="s">
        <v>32</v>
      </c>
      <c r="D1676" s="5" t="str">
        <f>"符永银"</f>
        <v>符永银</v>
      </c>
      <c r="E1676" s="5" t="str">
        <f t="shared" si="179"/>
        <v>女</v>
      </c>
      <c r="F1676" s="5" t="str">
        <f t="shared" ref="F1676:F1723" si="180">"汉族"</f>
        <v>汉族</v>
      </c>
    </row>
    <row r="1677" ht="30" customHeight="1" spans="1:6">
      <c r="A1677" s="5">
        <v>1675</v>
      </c>
      <c r="B1677" s="5" t="str">
        <f>"36412022011009243996477"</f>
        <v>36412022011009243996477</v>
      </c>
      <c r="C1677" s="5" t="s">
        <v>32</v>
      </c>
      <c r="D1677" s="5" t="str">
        <f>"崔庭兰"</f>
        <v>崔庭兰</v>
      </c>
      <c r="E1677" s="5" t="str">
        <f t="shared" si="179"/>
        <v>女</v>
      </c>
      <c r="F1677" s="5" t="str">
        <f t="shared" si="180"/>
        <v>汉族</v>
      </c>
    </row>
    <row r="1678" ht="30" customHeight="1" spans="1:6">
      <c r="A1678" s="5">
        <v>1676</v>
      </c>
      <c r="B1678" s="5" t="str">
        <f>"36412022011009440796530"</f>
        <v>36412022011009440796530</v>
      </c>
      <c r="C1678" s="5" t="s">
        <v>32</v>
      </c>
      <c r="D1678" s="5" t="str">
        <f>"钟小雪"</f>
        <v>钟小雪</v>
      </c>
      <c r="E1678" s="5" t="str">
        <f t="shared" si="179"/>
        <v>女</v>
      </c>
      <c r="F1678" s="5" t="str">
        <f t="shared" si="180"/>
        <v>汉族</v>
      </c>
    </row>
    <row r="1679" ht="30" customHeight="1" spans="1:6">
      <c r="A1679" s="5">
        <v>1677</v>
      </c>
      <c r="B1679" s="5" t="str">
        <f>"36412022011010064296615"</f>
        <v>36412022011010064296615</v>
      </c>
      <c r="C1679" s="5" t="s">
        <v>32</v>
      </c>
      <c r="D1679" s="5" t="str">
        <f>"扈雅宁"</f>
        <v>扈雅宁</v>
      </c>
      <c r="E1679" s="5" t="str">
        <f t="shared" si="179"/>
        <v>女</v>
      </c>
      <c r="F1679" s="5" t="str">
        <f t="shared" si="180"/>
        <v>汉族</v>
      </c>
    </row>
    <row r="1680" ht="30" customHeight="1" spans="1:6">
      <c r="A1680" s="5">
        <v>1678</v>
      </c>
      <c r="B1680" s="5" t="str">
        <f>"36412022011010255096674"</f>
        <v>36412022011010255096674</v>
      </c>
      <c r="C1680" s="5" t="s">
        <v>32</v>
      </c>
      <c r="D1680" s="5" t="str">
        <f>"文春娥"</f>
        <v>文春娥</v>
      </c>
      <c r="E1680" s="5" t="str">
        <f t="shared" si="179"/>
        <v>女</v>
      </c>
      <c r="F1680" s="5" t="str">
        <f t="shared" si="180"/>
        <v>汉族</v>
      </c>
    </row>
    <row r="1681" ht="30" customHeight="1" spans="1:6">
      <c r="A1681" s="5">
        <v>1679</v>
      </c>
      <c r="B1681" s="5" t="str">
        <f>"36412022011010490696746"</f>
        <v>36412022011010490696746</v>
      </c>
      <c r="C1681" s="5" t="s">
        <v>32</v>
      </c>
      <c r="D1681" s="5" t="str">
        <f>"冯照艳"</f>
        <v>冯照艳</v>
      </c>
      <c r="E1681" s="5" t="str">
        <f t="shared" si="179"/>
        <v>女</v>
      </c>
      <c r="F1681" s="5" t="str">
        <f t="shared" si="180"/>
        <v>汉族</v>
      </c>
    </row>
    <row r="1682" ht="30" customHeight="1" spans="1:6">
      <c r="A1682" s="5">
        <v>1680</v>
      </c>
      <c r="B1682" s="5" t="str">
        <f>"36412022011011025596798"</f>
        <v>36412022011011025596798</v>
      </c>
      <c r="C1682" s="5" t="s">
        <v>32</v>
      </c>
      <c r="D1682" s="5" t="str">
        <f>"徐霞"</f>
        <v>徐霞</v>
      </c>
      <c r="E1682" s="5" t="str">
        <f t="shared" si="179"/>
        <v>女</v>
      </c>
      <c r="F1682" s="5" t="str">
        <f t="shared" si="180"/>
        <v>汉族</v>
      </c>
    </row>
    <row r="1683" ht="30" customHeight="1" spans="1:6">
      <c r="A1683" s="5">
        <v>1681</v>
      </c>
      <c r="B1683" s="5" t="str">
        <f>"36412022011011134096839"</f>
        <v>36412022011011134096839</v>
      </c>
      <c r="C1683" s="5" t="s">
        <v>32</v>
      </c>
      <c r="D1683" s="5" t="str">
        <f>"王圣顺"</f>
        <v>王圣顺</v>
      </c>
      <c r="E1683" s="5" t="str">
        <f>"男"</f>
        <v>男</v>
      </c>
      <c r="F1683" s="5" t="str">
        <f t="shared" si="180"/>
        <v>汉族</v>
      </c>
    </row>
    <row r="1684" ht="30" customHeight="1" spans="1:6">
      <c r="A1684" s="5">
        <v>1682</v>
      </c>
      <c r="B1684" s="5" t="str">
        <f>"36412022011011282696888"</f>
        <v>36412022011011282696888</v>
      </c>
      <c r="C1684" s="5" t="s">
        <v>32</v>
      </c>
      <c r="D1684" s="5" t="str">
        <f>"符永倩"</f>
        <v>符永倩</v>
      </c>
      <c r="E1684" s="5" t="str">
        <f>"女"</f>
        <v>女</v>
      </c>
      <c r="F1684" s="5" t="str">
        <f t="shared" si="180"/>
        <v>汉族</v>
      </c>
    </row>
    <row r="1685" ht="30" customHeight="1" spans="1:6">
      <c r="A1685" s="5">
        <v>1683</v>
      </c>
      <c r="B1685" s="5" t="str">
        <f>"36412021123109042969647"</f>
        <v>36412021123109042969647</v>
      </c>
      <c r="C1685" s="5" t="s">
        <v>33</v>
      </c>
      <c r="D1685" s="5" t="str">
        <f>"陈亚"</f>
        <v>陈亚</v>
      </c>
      <c r="E1685" s="5" t="str">
        <f>"女"</f>
        <v>女</v>
      </c>
      <c r="F1685" s="5" t="str">
        <f t="shared" si="180"/>
        <v>汉族</v>
      </c>
    </row>
    <row r="1686" ht="30" customHeight="1" spans="1:6">
      <c r="A1686" s="5">
        <v>1684</v>
      </c>
      <c r="B1686" s="5" t="str">
        <f>"36412021123109061669659"</f>
        <v>36412021123109061669659</v>
      </c>
      <c r="C1686" s="5" t="s">
        <v>33</v>
      </c>
      <c r="D1686" s="5" t="str">
        <f>"王亮"</f>
        <v>王亮</v>
      </c>
      <c r="E1686" s="5" t="str">
        <f>"男"</f>
        <v>男</v>
      </c>
      <c r="F1686" s="5" t="str">
        <f t="shared" si="180"/>
        <v>汉族</v>
      </c>
    </row>
    <row r="1687" ht="30" customHeight="1" spans="1:6">
      <c r="A1687" s="5">
        <v>1685</v>
      </c>
      <c r="B1687" s="5" t="str">
        <f>"36412021123109065169664"</f>
        <v>36412021123109065169664</v>
      </c>
      <c r="C1687" s="5" t="s">
        <v>33</v>
      </c>
      <c r="D1687" s="5" t="str">
        <f>"范旭"</f>
        <v>范旭</v>
      </c>
      <c r="E1687" s="5" t="str">
        <f>"男"</f>
        <v>男</v>
      </c>
      <c r="F1687" s="5" t="str">
        <f t="shared" si="180"/>
        <v>汉族</v>
      </c>
    </row>
    <row r="1688" ht="30" customHeight="1" spans="1:6">
      <c r="A1688" s="5">
        <v>1686</v>
      </c>
      <c r="B1688" s="5" t="str">
        <f>"36412021123109314869769"</f>
        <v>36412021123109314869769</v>
      </c>
      <c r="C1688" s="5" t="s">
        <v>33</v>
      </c>
      <c r="D1688" s="5" t="str">
        <f>"周静"</f>
        <v>周静</v>
      </c>
      <c r="E1688" s="5" t="str">
        <f t="shared" ref="E1688:E1697" si="181">"女"</f>
        <v>女</v>
      </c>
      <c r="F1688" s="5" t="str">
        <f t="shared" si="180"/>
        <v>汉族</v>
      </c>
    </row>
    <row r="1689" ht="30" customHeight="1" spans="1:6">
      <c r="A1689" s="5">
        <v>1687</v>
      </c>
      <c r="B1689" s="5" t="str">
        <f>"36412021123110021769913"</f>
        <v>36412021123110021769913</v>
      </c>
      <c r="C1689" s="5" t="s">
        <v>33</v>
      </c>
      <c r="D1689" s="5" t="str">
        <f>"邱晓慧"</f>
        <v>邱晓慧</v>
      </c>
      <c r="E1689" s="5" t="str">
        <f t="shared" si="181"/>
        <v>女</v>
      </c>
      <c r="F1689" s="5" t="str">
        <f t="shared" si="180"/>
        <v>汉族</v>
      </c>
    </row>
    <row r="1690" ht="30" customHeight="1" spans="1:6">
      <c r="A1690" s="5">
        <v>1688</v>
      </c>
      <c r="B1690" s="5" t="str">
        <f>"36412021123110072069938"</f>
        <v>36412021123110072069938</v>
      </c>
      <c r="C1690" s="5" t="s">
        <v>33</v>
      </c>
      <c r="D1690" s="5" t="str">
        <f>"徐梦思"</f>
        <v>徐梦思</v>
      </c>
      <c r="E1690" s="5" t="str">
        <f t="shared" si="181"/>
        <v>女</v>
      </c>
      <c r="F1690" s="5" t="str">
        <f t="shared" si="180"/>
        <v>汉族</v>
      </c>
    </row>
    <row r="1691" ht="30" customHeight="1" spans="1:6">
      <c r="A1691" s="5">
        <v>1689</v>
      </c>
      <c r="B1691" s="5" t="str">
        <f>"36412021123110465070132"</f>
        <v>36412021123110465070132</v>
      </c>
      <c r="C1691" s="5" t="s">
        <v>33</v>
      </c>
      <c r="D1691" s="5" t="str">
        <f>"王雪连"</f>
        <v>王雪连</v>
      </c>
      <c r="E1691" s="5" t="str">
        <f t="shared" si="181"/>
        <v>女</v>
      </c>
      <c r="F1691" s="5" t="str">
        <f t="shared" si="180"/>
        <v>汉族</v>
      </c>
    </row>
    <row r="1692" ht="30" customHeight="1" spans="1:6">
      <c r="A1692" s="5">
        <v>1690</v>
      </c>
      <c r="B1692" s="5" t="str">
        <f>"36412021123111070670221"</f>
        <v>36412021123111070670221</v>
      </c>
      <c r="C1692" s="5" t="s">
        <v>33</v>
      </c>
      <c r="D1692" s="5" t="str">
        <f>"蒋倩"</f>
        <v>蒋倩</v>
      </c>
      <c r="E1692" s="5" t="str">
        <f t="shared" si="181"/>
        <v>女</v>
      </c>
      <c r="F1692" s="5" t="str">
        <f t="shared" si="180"/>
        <v>汉族</v>
      </c>
    </row>
    <row r="1693" ht="30" customHeight="1" spans="1:6">
      <c r="A1693" s="5">
        <v>1691</v>
      </c>
      <c r="B1693" s="5" t="str">
        <f>"36412021123111135270251"</f>
        <v>36412021123111135270251</v>
      </c>
      <c r="C1693" s="5" t="s">
        <v>33</v>
      </c>
      <c r="D1693" s="5" t="str">
        <f>"朱琼"</f>
        <v>朱琼</v>
      </c>
      <c r="E1693" s="5" t="str">
        <f t="shared" si="181"/>
        <v>女</v>
      </c>
      <c r="F1693" s="5" t="str">
        <f t="shared" si="180"/>
        <v>汉族</v>
      </c>
    </row>
    <row r="1694" ht="30" customHeight="1" spans="1:6">
      <c r="A1694" s="5">
        <v>1692</v>
      </c>
      <c r="B1694" s="5" t="str">
        <f>"36412021123111164570264"</f>
        <v>36412021123111164570264</v>
      </c>
      <c r="C1694" s="5" t="s">
        <v>33</v>
      </c>
      <c r="D1694" s="5" t="str">
        <f>"郑金欣"</f>
        <v>郑金欣</v>
      </c>
      <c r="E1694" s="5" t="str">
        <f t="shared" si="181"/>
        <v>女</v>
      </c>
      <c r="F1694" s="5" t="str">
        <f t="shared" si="180"/>
        <v>汉族</v>
      </c>
    </row>
    <row r="1695" ht="30" customHeight="1" spans="1:6">
      <c r="A1695" s="5">
        <v>1693</v>
      </c>
      <c r="B1695" s="5" t="str">
        <f>"36412021123111404070345"</f>
        <v>36412021123111404070345</v>
      </c>
      <c r="C1695" s="5" t="s">
        <v>33</v>
      </c>
      <c r="D1695" s="5" t="str">
        <f>"王姑女"</f>
        <v>王姑女</v>
      </c>
      <c r="E1695" s="5" t="str">
        <f t="shared" si="181"/>
        <v>女</v>
      </c>
      <c r="F1695" s="5" t="str">
        <f t="shared" si="180"/>
        <v>汉族</v>
      </c>
    </row>
    <row r="1696" ht="30" customHeight="1" spans="1:6">
      <c r="A1696" s="5">
        <v>1694</v>
      </c>
      <c r="B1696" s="5" t="str">
        <f>"36412021123111431770352"</f>
        <v>36412021123111431770352</v>
      </c>
      <c r="C1696" s="5" t="s">
        <v>33</v>
      </c>
      <c r="D1696" s="5" t="str">
        <f>"李丽芳"</f>
        <v>李丽芳</v>
      </c>
      <c r="E1696" s="5" t="str">
        <f t="shared" si="181"/>
        <v>女</v>
      </c>
      <c r="F1696" s="5" t="str">
        <f t="shared" si="180"/>
        <v>汉族</v>
      </c>
    </row>
    <row r="1697" ht="30" customHeight="1" spans="1:6">
      <c r="A1697" s="5">
        <v>1695</v>
      </c>
      <c r="B1697" s="5" t="str">
        <f>"36412021123112282670455"</f>
        <v>36412021123112282670455</v>
      </c>
      <c r="C1697" s="5" t="s">
        <v>33</v>
      </c>
      <c r="D1697" s="5" t="str">
        <f>"何小妹"</f>
        <v>何小妹</v>
      </c>
      <c r="E1697" s="5" t="str">
        <f t="shared" si="181"/>
        <v>女</v>
      </c>
      <c r="F1697" s="5" t="str">
        <f t="shared" si="180"/>
        <v>汉族</v>
      </c>
    </row>
    <row r="1698" ht="30" customHeight="1" spans="1:6">
      <c r="A1698" s="5">
        <v>1696</v>
      </c>
      <c r="B1698" s="5" t="str">
        <f>"36412021123113013970534"</f>
        <v>36412021123113013970534</v>
      </c>
      <c r="C1698" s="5" t="s">
        <v>33</v>
      </c>
      <c r="D1698" s="5" t="str">
        <f>"张东耀"</f>
        <v>张东耀</v>
      </c>
      <c r="E1698" s="5" t="str">
        <f>"男"</f>
        <v>男</v>
      </c>
      <c r="F1698" s="5" t="str">
        <f t="shared" si="180"/>
        <v>汉族</v>
      </c>
    </row>
    <row r="1699" ht="30" customHeight="1" spans="1:6">
      <c r="A1699" s="5">
        <v>1697</v>
      </c>
      <c r="B1699" s="5" t="str">
        <f>"36412021123115204070872"</f>
        <v>36412021123115204070872</v>
      </c>
      <c r="C1699" s="5" t="s">
        <v>33</v>
      </c>
      <c r="D1699" s="5" t="str">
        <f>"符吉妃"</f>
        <v>符吉妃</v>
      </c>
      <c r="E1699" s="5" t="str">
        <f t="shared" ref="E1699:E1750" si="182">"女"</f>
        <v>女</v>
      </c>
      <c r="F1699" s="5" t="str">
        <f t="shared" si="180"/>
        <v>汉族</v>
      </c>
    </row>
    <row r="1700" ht="30" customHeight="1" spans="1:6">
      <c r="A1700" s="5">
        <v>1698</v>
      </c>
      <c r="B1700" s="5" t="str">
        <f>"36412021123115303970899"</f>
        <v>36412021123115303970899</v>
      </c>
      <c r="C1700" s="5" t="s">
        <v>33</v>
      </c>
      <c r="D1700" s="5" t="str">
        <f>"杨育菁"</f>
        <v>杨育菁</v>
      </c>
      <c r="E1700" s="5" t="str">
        <f t="shared" si="182"/>
        <v>女</v>
      </c>
      <c r="F1700" s="5" t="str">
        <f t="shared" si="180"/>
        <v>汉族</v>
      </c>
    </row>
    <row r="1701" ht="30" customHeight="1" spans="1:6">
      <c r="A1701" s="5">
        <v>1699</v>
      </c>
      <c r="B1701" s="5" t="str">
        <f>"36412021123120355071281"</f>
        <v>36412021123120355071281</v>
      </c>
      <c r="C1701" s="5" t="s">
        <v>33</v>
      </c>
      <c r="D1701" s="5" t="str">
        <f>"杨珊"</f>
        <v>杨珊</v>
      </c>
      <c r="E1701" s="5" t="str">
        <f t="shared" si="182"/>
        <v>女</v>
      </c>
      <c r="F1701" s="5" t="str">
        <f t="shared" si="180"/>
        <v>汉族</v>
      </c>
    </row>
    <row r="1702" ht="30" customHeight="1" spans="1:6">
      <c r="A1702" s="5">
        <v>1700</v>
      </c>
      <c r="B1702" s="5" t="str">
        <f>"36412021123121090871312"</f>
        <v>36412021123121090871312</v>
      </c>
      <c r="C1702" s="5" t="s">
        <v>33</v>
      </c>
      <c r="D1702" s="5" t="str">
        <f>"熊秋红"</f>
        <v>熊秋红</v>
      </c>
      <c r="E1702" s="5" t="str">
        <f t="shared" si="182"/>
        <v>女</v>
      </c>
      <c r="F1702" s="5" t="str">
        <f t="shared" si="180"/>
        <v>汉族</v>
      </c>
    </row>
    <row r="1703" ht="30" customHeight="1" spans="1:6">
      <c r="A1703" s="5">
        <v>1701</v>
      </c>
      <c r="B1703" s="5" t="str">
        <f>"36412021123123040271380"</f>
        <v>36412021123123040271380</v>
      </c>
      <c r="C1703" s="5" t="s">
        <v>33</v>
      </c>
      <c r="D1703" s="5" t="str">
        <f>"谭琼洋"</f>
        <v>谭琼洋</v>
      </c>
      <c r="E1703" s="5" t="str">
        <f t="shared" si="182"/>
        <v>女</v>
      </c>
      <c r="F1703" s="5" t="str">
        <f t="shared" si="180"/>
        <v>汉族</v>
      </c>
    </row>
    <row r="1704" ht="30" customHeight="1" spans="1:6">
      <c r="A1704" s="5">
        <v>1702</v>
      </c>
      <c r="B1704" s="5" t="str">
        <f>"36412021123123382471390"</f>
        <v>36412021123123382471390</v>
      </c>
      <c r="C1704" s="5" t="s">
        <v>33</v>
      </c>
      <c r="D1704" s="5" t="str">
        <f>"麦瑶"</f>
        <v>麦瑶</v>
      </c>
      <c r="E1704" s="5" t="str">
        <f t="shared" si="182"/>
        <v>女</v>
      </c>
      <c r="F1704" s="5" t="str">
        <f t="shared" si="180"/>
        <v>汉族</v>
      </c>
    </row>
    <row r="1705" ht="30" customHeight="1" spans="1:6">
      <c r="A1705" s="5">
        <v>1703</v>
      </c>
      <c r="B1705" s="5" t="str">
        <f>"36412022010108171171431"</f>
        <v>36412022010108171171431</v>
      </c>
      <c r="C1705" s="5" t="s">
        <v>33</v>
      </c>
      <c r="D1705" s="5" t="str">
        <f>"杨珍"</f>
        <v>杨珍</v>
      </c>
      <c r="E1705" s="5" t="str">
        <f t="shared" si="182"/>
        <v>女</v>
      </c>
      <c r="F1705" s="5" t="str">
        <f t="shared" si="180"/>
        <v>汉族</v>
      </c>
    </row>
    <row r="1706" ht="30" customHeight="1" spans="1:6">
      <c r="A1706" s="5">
        <v>1704</v>
      </c>
      <c r="B1706" s="5" t="str">
        <f>"36412022010108291571441"</f>
        <v>36412022010108291571441</v>
      </c>
      <c r="C1706" s="5" t="s">
        <v>33</v>
      </c>
      <c r="D1706" s="5" t="str">
        <f>"黄燕玉"</f>
        <v>黄燕玉</v>
      </c>
      <c r="E1706" s="5" t="str">
        <f t="shared" si="182"/>
        <v>女</v>
      </c>
      <c r="F1706" s="5" t="str">
        <f t="shared" si="180"/>
        <v>汉族</v>
      </c>
    </row>
    <row r="1707" ht="30" customHeight="1" spans="1:6">
      <c r="A1707" s="5">
        <v>1705</v>
      </c>
      <c r="B1707" s="5" t="str">
        <f>"36412022010114315871858"</f>
        <v>36412022010114315871858</v>
      </c>
      <c r="C1707" s="5" t="s">
        <v>33</v>
      </c>
      <c r="D1707" s="5" t="str">
        <f>"周莉"</f>
        <v>周莉</v>
      </c>
      <c r="E1707" s="5" t="str">
        <f t="shared" si="182"/>
        <v>女</v>
      </c>
      <c r="F1707" s="5" t="str">
        <f t="shared" si="180"/>
        <v>汉族</v>
      </c>
    </row>
    <row r="1708" ht="30" customHeight="1" spans="1:6">
      <c r="A1708" s="5">
        <v>1706</v>
      </c>
      <c r="B1708" s="5" t="str">
        <f>"36412022010115043271887"</f>
        <v>36412022010115043271887</v>
      </c>
      <c r="C1708" s="5" t="s">
        <v>33</v>
      </c>
      <c r="D1708" s="5" t="str">
        <f>"林禁"</f>
        <v>林禁</v>
      </c>
      <c r="E1708" s="5" t="str">
        <f t="shared" si="182"/>
        <v>女</v>
      </c>
      <c r="F1708" s="5" t="str">
        <f t="shared" si="180"/>
        <v>汉族</v>
      </c>
    </row>
    <row r="1709" ht="30" customHeight="1" spans="1:6">
      <c r="A1709" s="5">
        <v>1707</v>
      </c>
      <c r="B1709" s="5" t="str">
        <f>"36412022010115404371922"</f>
        <v>36412022010115404371922</v>
      </c>
      <c r="C1709" s="5" t="s">
        <v>33</v>
      </c>
      <c r="D1709" s="5" t="str">
        <f>"郑长女"</f>
        <v>郑长女</v>
      </c>
      <c r="E1709" s="5" t="str">
        <f t="shared" si="182"/>
        <v>女</v>
      </c>
      <c r="F1709" s="5" t="str">
        <f t="shared" si="180"/>
        <v>汉族</v>
      </c>
    </row>
    <row r="1710" ht="30" customHeight="1" spans="1:6">
      <c r="A1710" s="5">
        <v>1708</v>
      </c>
      <c r="B1710" s="5" t="str">
        <f>"36412022010121344672259"</f>
        <v>36412022010121344672259</v>
      </c>
      <c r="C1710" s="5" t="s">
        <v>33</v>
      </c>
      <c r="D1710" s="5" t="str">
        <f>"廖飞凤"</f>
        <v>廖飞凤</v>
      </c>
      <c r="E1710" s="5" t="str">
        <f t="shared" si="182"/>
        <v>女</v>
      </c>
      <c r="F1710" s="5" t="str">
        <f t="shared" si="180"/>
        <v>汉族</v>
      </c>
    </row>
    <row r="1711" ht="30" customHeight="1" spans="1:6">
      <c r="A1711" s="5">
        <v>1709</v>
      </c>
      <c r="B1711" s="5" t="str">
        <f>"36412022010200301272395"</f>
        <v>36412022010200301272395</v>
      </c>
      <c r="C1711" s="5" t="s">
        <v>33</v>
      </c>
      <c r="D1711" s="5" t="str">
        <f>"蔡容"</f>
        <v>蔡容</v>
      </c>
      <c r="E1711" s="5" t="str">
        <f t="shared" si="182"/>
        <v>女</v>
      </c>
      <c r="F1711" s="5" t="str">
        <f t="shared" si="180"/>
        <v>汉族</v>
      </c>
    </row>
    <row r="1712" ht="30" customHeight="1" spans="1:6">
      <c r="A1712" s="5">
        <v>1710</v>
      </c>
      <c r="B1712" s="5" t="str">
        <f>"36412022010210585572580"</f>
        <v>36412022010210585572580</v>
      </c>
      <c r="C1712" s="5" t="s">
        <v>33</v>
      </c>
      <c r="D1712" s="5" t="str">
        <f>"文娟"</f>
        <v>文娟</v>
      </c>
      <c r="E1712" s="5" t="str">
        <f t="shared" si="182"/>
        <v>女</v>
      </c>
      <c r="F1712" s="5" t="str">
        <f t="shared" si="180"/>
        <v>汉族</v>
      </c>
    </row>
    <row r="1713" ht="30" customHeight="1" spans="1:6">
      <c r="A1713" s="5">
        <v>1711</v>
      </c>
      <c r="B1713" s="5" t="str">
        <f>"36412022010211141472604"</f>
        <v>36412022010211141472604</v>
      </c>
      <c r="C1713" s="5" t="s">
        <v>33</v>
      </c>
      <c r="D1713" s="5" t="str">
        <f>"羊玲"</f>
        <v>羊玲</v>
      </c>
      <c r="E1713" s="5" t="str">
        <f t="shared" si="182"/>
        <v>女</v>
      </c>
      <c r="F1713" s="5" t="str">
        <f t="shared" si="180"/>
        <v>汉族</v>
      </c>
    </row>
    <row r="1714" ht="30" customHeight="1" spans="1:6">
      <c r="A1714" s="5">
        <v>1712</v>
      </c>
      <c r="B1714" s="5" t="str">
        <f>"36412022010216130672985"</f>
        <v>36412022010216130672985</v>
      </c>
      <c r="C1714" s="5" t="s">
        <v>33</v>
      </c>
      <c r="D1714" s="5" t="str">
        <f>"钟小珍"</f>
        <v>钟小珍</v>
      </c>
      <c r="E1714" s="5" t="str">
        <f t="shared" si="182"/>
        <v>女</v>
      </c>
      <c r="F1714" s="5" t="str">
        <f t="shared" si="180"/>
        <v>汉族</v>
      </c>
    </row>
    <row r="1715" ht="30" customHeight="1" spans="1:6">
      <c r="A1715" s="5">
        <v>1713</v>
      </c>
      <c r="B1715" s="5" t="str">
        <f>"36412022010216452173025"</f>
        <v>36412022010216452173025</v>
      </c>
      <c r="C1715" s="5" t="s">
        <v>33</v>
      </c>
      <c r="D1715" s="5" t="str">
        <f>"吴井爱"</f>
        <v>吴井爱</v>
      </c>
      <c r="E1715" s="5" t="str">
        <f t="shared" si="182"/>
        <v>女</v>
      </c>
      <c r="F1715" s="5" t="str">
        <f t="shared" si="180"/>
        <v>汉族</v>
      </c>
    </row>
    <row r="1716" ht="30" customHeight="1" spans="1:6">
      <c r="A1716" s="5">
        <v>1714</v>
      </c>
      <c r="B1716" s="5" t="str">
        <f>"36412022010219055073149"</f>
        <v>36412022010219055073149</v>
      </c>
      <c r="C1716" s="5" t="s">
        <v>33</v>
      </c>
      <c r="D1716" s="5" t="str">
        <f>"吴谢苗"</f>
        <v>吴谢苗</v>
      </c>
      <c r="E1716" s="5" t="str">
        <f t="shared" si="182"/>
        <v>女</v>
      </c>
      <c r="F1716" s="5" t="str">
        <f t="shared" si="180"/>
        <v>汉族</v>
      </c>
    </row>
    <row r="1717" ht="30" customHeight="1" spans="1:6">
      <c r="A1717" s="5">
        <v>1715</v>
      </c>
      <c r="B1717" s="5" t="str">
        <f>"36412022010219123373161"</f>
        <v>36412022010219123373161</v>
      </c>
      <c r="C1717" s="5" t="s">
        <v>33</v>
      </c>
      <c r="D1717" s="5" t="str">
        <f>"吉丹丹"</f>
        <v>吉丹丹</v>
      </c>
      <c r="E1717" s="5" t="str">
        <f t="shared" si="182"/>
        <v>女</v>
      </c>
      <c r="F1717" s="5" t="str">
        <f t="shared" si="180"/>
        <v>汉族</v>
      </c>
    </row>
    <row r="1718" ht="30" customHeight="1" spans="1:6">
      <c r="A1718" s="5">
        <v>1716</v>
      </c>
      <c r="B1718" s="5" t="str">
        <f>"36412022010221070573285"</f>
        <v>36412022010221070573285</v>
      </c>
      <c r="C1718" s="5" t="s">
        <v>33</v>
      </c>
      <c r="D1718" s="5" t="str">
        <f>"吴春榕"</f>
        <v>吴春榕</v>
      </c>
      <c r="E1718" s="5" t="str">
        <f t="shared" si="182"/>
        <v>女</v>
      </c>
      <c r="F1718" s="5" t="str">
        <f t="shared" si="180"/>
        <v>汉族</v>
      </c>
    </row>
    <row r="1719" ht="30" customHeight="1" spans="1:6">
      <c r="A1719" s="5">
        <v>1717</v>
      </c>
      <c r="B1719" s="5" t="str">
        <f>"36412022010222074173364"</f>
        <v>36412022010222074173364</v>
      </c>
      <c r="C1719" s="5" t="s">
        <v>33</v>
      </c>
      <c r="D1719" s="5" t="str">
        <f>"杨清晏"</f>
        <v>杨清晏</v>
      </c>
      <c r="E1719" s="5" t="str">
        <f t="shared" si="182"/>
        <v>女</v>
      </c>
      <c r="F1719" s="5" t="str">
        <f t="shared" si="180"/>
        <v>汉族</v>
      </c>
    </row>
    <row r="1720" ht="30" customHeight="1" spans="1:6">
      <c r="A1720" s="5">
        <v>1718</v>
      </c>
      <c r="B1720" s="5" t="str">
        <f>"36412022010310171474023"</f>
        <v>36412022010310171474023</v>
      </c>
      <c r="C1720" s="5" t="s">
        <v>33</v>
      </c>
      <c r="D1720" s="5" t="str">
        <f>"简美娥"</f>
        <v>简美娥</v>
      </c>
      <c r="E1720" s="5" t="str">
        <f t="shared" si="182"/>
        <v>女</v>
      </c>
      <c r="F1720" s="5" t="str">
        <f t="shared" si="180"/>
        <v>汉族</v>
      </c>
    </row>
    <row r="1721" ht="30" customHeight="1" spans="1:6">
      <c r="A1721" s="5">
        <v>1719</v>
      </c>
      <c r="B1721" s="5" t="str">
        <f>"36412022010312592074852"</f>
        <v>36412022010312592074852</v>
      </c>
      <c r="C1721" s="5" t="s">
        <v>33</v>
      </c>
      <c r="D1721" s="5" t="str">
        <f>"程凤"</f>
        <v>程凤</v>
      </c>
      <c r="E1721" s="5" t="str">
        <f t="shared" si="182"/>
        <v>女</v>
      </c>
      <c r="F1721" s="5" t="str">
        <f t="shared" si="180"/>
        <v>汉族</v>
      </c>
    </row>
    <row r="1722" ht="30" customHeight="1" spans="1:6">
      <c r="A1722" s="5">
        <v>1720</v>
      </c>
      <c r="B1722" s="5" t="str">
        <f>"36412022010316405375667"</f>
        <v>36412022010316405375667</v>
      </c>
      <c r="C1722" s="5" t="s">
        <v>33</v>
      </c>
      <c r="D1722" s="5" t="str">
        <f>"郑海丽"</f>
        <v>郑海丽</v>
      </c>
      <c r="E1722" s="5" t="str">
        <f t="shared" si="182"/>
        <v>女</v>
      </c>
      <c r="F1722" s="5" t="str">
        <f t="shared" si="180"/>
        <v>汉族</v>
      </c>
    </row>
    <row r="1723" ht="30" customHeight="1" spans="1:6">
      <c r="A1723" s="5">
        <v>1721</v>
      </c>
      <c r="B1723" s="5" t="str">
        <f>"36412022010407441477069"</f>
        <v>36412022010407441477069</v>
      </c>
      <c r="C1723" s="5" t="s">
        <v>33</v>
      </c>
      <c r="D1723" s="5" t="str">
        <f>"郑康敏"</f>
        <v>郑康敏</v>
      </c>
      <c r="E1723" s="5" t="str">
        <f t="shared" si="182"/>
        <v>女</v>
      </c>
      <c r="F1723" s="5" t="str">
        <f t="shared" si="180"/>
        <v>汉族</v>
      </c>
    </row>
    <row r="1724" ht="30" customHeight="1" spans="1:6">
      <c r="A1724" s="5">
        <v>1722</v>
      </c>
      <c r="B1724" s="5" t="str">
        <f>"36412022010407480777072"</f>
        <v>36412022010407480777072</v>
      </c>
      <c r="C1724" s="5" t="s">
        <v>33</v>
      </c>
      <c r="D1724" s="5" t="str">
        <f>"周凤"</f>
        <v>周凤</v>
      </c>
      <c r="E1724" s="5" t="str">
        <f t="shared" si="182"/>
        <v>女</v>
      </c>
      <c r="F1724" s="5" t="str">
        <f>"黎族"</f>
        <v>黎族</v>
      </c>
    </row>
    <row r="1725" ht="30" customHeight="1" spans="1:6">
      <c r="A1725" s="5">
        <v>1723</v>
      </c>
      <c r="B1725" s="5" t="str">
        <f>"36412022010408261077173"</f>
        <v>36412022010408261077173</v>
      </c>
      <c r="C1725" s="5" t="s">
        <v>33</v>
      </c>
      <c r="D1725" s="5" t="str">
        <f>"张璇"</f>
        <v>张璇</v>
      </c>
      <c r="E1725" s="5" t="str">
        <f t="shared" si="182"/>
        <v>女</v>
      </c>
      <c r="F1725" s="5" t="str">
        <f>"黎族"</f>
        <v>黎族</v>
      </c>
    </row>
    <row r="1726" ht="30" customHeight="1" spans="1:6">
      <c r="A1726" s="5">
        <v>1724</v>
      </c>
      <c r="B1726" s="5" t="str">
        <f>"36412022010409521777827"</f>
        <v>36412022010409521777827</v>
      </c>
      <c r="C1726" s="5" t="s">
        <v>33</v>
      </c>
      <c r="D1726" s="5" t="str">
        <f>"朱小会"</f>
        <v>朱小会</v>
      </c>
      <c r="E1726" s="5" t="str">
        <f t="shared" si="182"/>
        <v>女</v>
      </c>
      <c r="F1726" s="5" t="str">
        <f>"汉族"</f>
        <v>汉族</v>
      </c>
    </row>
    <row r="1727" ht="30" customHeight="1" spans="1:6">
      <c r="A1727" s="5">
        <v>1725</v>
      </c>
      <c r="B1727" s="5" t="str">
        <f>"36412022010410033877934"</f>
        <v>36412022010410033877934</v>
      </c>
      <c r="C1727" s="5" t="s">
        <v>33</v>
      </c>
      <c r="D1727" s="5" t="str">
        <f>"吴金花"</f>
        <v>吴金花</v>
      </c>
      <c r="E1727" s="5" t="str">
        <f t="shared" si="182"/>
        <v>女</v>
      </c>
      <c r="F1727" s="5" t="str">
        <f>"汉族"</f>
        <v>汉族</v>
      </c>
    </row>
    <row r="1728" ht="30" customHeight="1" spans="1:6">
      <c r="A1728" s="5">
        <v>1726</v>
      </c>
      <c r="B1728" s="5" t="str">
        <f>"36412022010410422178280"</f>
        <v>36412022010410422178280</v>
      </c>
      <c r="C1728" s="5" t="s">
        <v>33</v>
      </c>
      <c r="D1728" s="5" t="str">
        <f>"蔡庆祝"</f>
        <v>蔡庆祝</v>
      </c>
      <c r="E1728" s="5" t="str">
        <f t="shared" si="182"/>
        <v>女</v>
      </c>
      <c r="F1728" s="5" t="str">
        <f>"汉族"</f>
        <v>汉族</v>
      </c>
    </row>
    <row r="1729" ht="30" customHeight="1" spans="1:6">
      <c r="A1729" s="5">
        <v>1727</v>
      </c>
      <c r="B1729" s="5" t="str">
        <f>"36412022010410524078367"</f>
        <v>36412022010410524078367</v>
      </c>
      <c r="C1729" s="5" t="s">
        <v>33</v>
      </c>
      <c r="D1729" s="5" t="str">
        <f>"孙小凤"</f>
        <v>孙小凤</v>
      </c>
      <c r="E1729" s="5" t="str">
        <f t="shared" si="182"/>
        <v>女</v>
      </c>
      <c r="F1729" s="5" t="str">
        <f>"汉族"</f>
        <v>汉族</v>
      </c>
    </row>
    <row r="1730" ht="30" customHeight="1" spans="1:6">
      <c r="A1730" s="5">
        <v>1728</v>
      </c>
      <c r="B1730" s="5" t="str">
        <f>"36412022010410554378393"</f>
        <v>36412022010410554378393</v>
      </c>
      <c r="C1730" s="5" t="s">
        <v>33</v>
      </c>
      <c r="D1730" s="5" t="str">
        <f>"彭夏芳"</f>
        <v>彭夏芳</v>
      </c>
      <c r="E1730" s="5" t="str">
        <f t="shared" si="182"/>
        <v>女</v>
      </c>
      <c r="F1730" s="5" t="str">
        <f>"黎族"</f>
        <v>黎族</v>
      </c>
    </row>
    <row r="1731" ht="30" customHeight="1" spans="1:6">
      <c r="A1731" s="5">
        <v>1729</v>
      </c>
      <c r="B1731" s="5" t="str">
        <f>"36412022010413224779274"</f>
        <v>36412022010413224779274</v>
      </c>
      <c r="C1731" s="5" t="s">
        <v>33</v>
      </c>
      <c r="D1731" s="5" t="str">
        <f>"王燕"</f>
        <v>王燕</v>
      </c>
      <c r="E1731" s="5" t="str">
        <f t="shared" si="182"/>
        <v>女</v>
      </c>
      <c r="F1731" s="5" t="str">
        <f t="shared" ref="F1731:F1738" si="183">"汉族"</f>
        <v>汉族</v>
      </c>
    </row>
    <row r="1732" ht="30" customHeight="1" spans="1:6">
      <c r="A1732" s="5">
        <v>1730</v>
      </c>
      <c r="B1732" s="5" t="str">
        <f>"36412022010415413179969"</f>
        <v>36412022010415413179969</v>
      </c>
      <c r="C1732" s="5" t="s">
        <v>33</v>
      </c>
      <c r="D1732" s="5" t="str">
        <f>"关远琴"</f>
        <v>关远琴</v>
      </c>
      <c r="E1732" s="5" t="str">
        <f t="shared" si="182"/>
        <v>女</v>
      </c>
      <c r="F1732" s="5" t="str">
        <f t="shared" si="183"/>
        <v>汉族</v>
      </c>
    </row>
    <row r="1733" ht="30" customHeight="1" spans="1:6">
      <c r="A1733" s="5">
        <v>1731</v>
      </c>
      <c r="B1733" s="5" t="str">
        <f>"36412022010416101780139"</f>
        <v>36412022010416101780139</v>
      </c>
      <c r="C1733" s="5" t="s">
        <v>33</v>
      </c>
      <c r="D1733" s="5" t="str">
        <f>"冯慧"</f>
        <v>冯慧</v>
      </c>
      <c r="E1733" s="5" t="str">
        <f t="shared" si="182"/>
        <v>女</v>
      </c>
      <c r="F1733" s="5" t="str">
        <f t="shared" si="183"/>
        <v>汉族</v>
      </c>
    </row>
    <row r="1734" ht="30" customHeight="1" spans="1:6">
      <c r="A1734" s="5">
        <v>1732</v>
      </c>
      <c r="B1734" s="5" t="str">
        <f>"36412022010416284080255"</f>
        <v>36412022010416284080255</v>
      </c>
      <c r="C1734" s="5" t="s">
        <v>33</v>
      </c>
      <c r="D1734" s="5" t="str">
        <f>"李华丹"</f>
        <v>李华丹</v>
      </c>
      <c r="E1734" s="5" t="str">
        <f t="shared" si="182"/>
        <v>女</v>
      </c>
      <c r="F1734" s="5" t="str">
        <f t="shared" si="183"/>
        <v>汉族</v>
      </c>
    </row>
    <row r="1735" ht="30" customHeight="1" spans="1:6">
      <c r="A1735" s="5">
        <v>1733</v>
      </c>
      <c r="B1735" s="5" t="str">
        <f>"36412022010416332280279"</f>
        <v>36412022010416332280279</v>
      </c>
      <c r="C1735" s="5" t="s">
        <v>33</v>
      </c>
      <c r="D1735" s="5" t="str">
        <f>"孙忠慧"</f>
        <v>孙忠慧</v>
      </c>
      <c r="E1735" s="5" t="str">
        <f t="shared" si="182"/>
        <v>女</v>
      </c>
      <c r="F1735" s="5" t="str">
        <f t="shared" si="183"/>
        <v>汉族</v>
      </c>
    </row>
    <row r="1736" ht="30" customHeight="1" spans="1:6">
      <c r="A1736" s="5">
        <v>1734</v>
      </c>
      <c r="B1736" s="5" t="str">
        <f>"36412022010417261380568"</f>
        <v>36412022010417261380568</v>
      </c>
      <c r="C1736" s="5" t="s">
        <v>33</v>
      </c>
      <c r="D1736" s="5" t="str">
        <f>"石颖婕"</f>
        <v>石颖婕</v>
      </c>
      <c r="E1736" s="5" t="str">
        <f t="shared" si="182"/>
        <v>女</v>
      </c>
      <c r="F1736" s="5" t="str">
        <f t="shared" si="183"/>
        <v>汉族</v>
      </c>
    </row>
    <row r="1737" ht="30" customHeight="1" spans="1:6">
      <c r="A1737" s="5">
        <v>1735</v>
      </c>
      <c r="B1737" s="5" t="str">
        <f>"36412022010420050481288"</f>
        <v>36412022010420050481288</v>
      </c>
      <c r="C1737" s="5" t="s">
        <v>33</v>
      </c>
      <c r="D1737" s="5" t="str">
        <f>"钟红灵"</f>
        <v>钟红灵</v>
      </c>
      <c r="E1737" s="5" t="str">
        <f t="shared" si="182"/>
        <v>女</v>
      </c>
      <c r="F1737" s="5" t="str">
        <f t="shared" si="183"/>
        <v>汉族</v>
      </c>
    </row>
    <row r="1738" ht="30" customHeight="1" spans="1:6">
      <c r="A1738" s="5">
        <v>1736</v>
      </c>
      <c r="B1738" s="5" t="str">
        <f>"36412022010420564481557"</f>
        <v>36412022010420564481557</v>
      </c>
      <c r="C1738" s="5" t="s">
        <v>33</v>
      </c>
      <c r="D1738" s="5" t="str">
        <f>"蔡美彩"</f>
        <v>蔡美彩</v>
      </c>
      <c r="E1738" s="5" t="str">
        <f t="shared" si="182"/>
        <v>女</v>
      </c>
      <c r="F1738" s="5" t="str">
        <f t="shared" si="183"/>
        <v>汉族</v>
      </c>
    </row>
    <row r="1739" ht="30" customHeight="1" spans="1:6">
      <c r="A1739" s="5">
        <v>1737</v>
      </c>
      <c r="B1739" s="5" t="str">
        <f>"36412022010422124681904"</f>
        <v>36412022010422124681904</v>
      </c>
      <c r="C1739" s="5" t="s">
        <v>33</v>
      </c>
      <c r="D1739" s="5" t="str">
        <f>"胡丽美"</f>
        <v>胡丽美</v>
      </c>
      <c r="E1739" s="5" t="str">
        <f t="shared" si="182"/>
        <v>女</v>
      </c>
      <c r="F1739" s="5" t="str">
        <f>"黎族"</f>
        <v>黎族</v>
      </c>
    </row>
    <row r="1740" ht="30" customHeight="1" spans="1:6">
      <c r="A1740" s="5">
        <v>1738</v>
      </c>
      <c r="B1740" s="5" t="str">
        <f>"36412022010423250482136"</f>
        <v>36412022010423250482136</v>
      </c>
      <c r="C1740" s="5" t="s">
        <v>33</v>
      </c>
      <c r="D1740" s="5" t="str">
        <f>"王娟"</f>
        <v>王娟</v>
      </c>
      <c r="E1740" s="5" t="str">
        <f t="shared" si="182"/>
        <v>女</v>
      </c>
      <c r="F1740" s="5" t="str">
        <f t="shared" ref="F1740:F1755" si="184">"汉族"</f>
        <v>汉族</v>
      </c>
    </row>
    <row r="1741" ht="30" customHeight="1" spans="1:6">
      <c r="A1741" s="5">
        <v>1739</v>
      </c>
      <c r="B1741" s="5" t="str">
        <f>"36412022010509434482741"</f>
        <v>36412022010509434482741</v>
      </c>
      <c r="C1741" s="5" t="s">
        <v>33</v>
      </c>
      <c r="D1741" s="5" t="str">
        <f>"林苗苗"</f>
        <v>林苗苗</v>
      </c>
      <c r="E1741" s="5" t="str">
        <f t="shared" si="182"/>
        <v>女</v>
      </c>
      <c r="F1741" s="5" t="str">
        <f t="shared" si="184"/>
        <v>汉族</v>
      </c>
    </row>
    <row r="1742" ht="30" customHeight="1" spans="1:6">
      <c r="A1742" s="5">
        <v>1740</v>
      </c>
      <c r="B1742" s="5" t="str">
        <f>"36412022010510065982893"</f>
        <v>36412022010510065982893</v>
      </c>
      <c r="C1742" s="5" t="s">
        <v>33</v>
      </c>
      <c r="D1742" s="5" t="str">
        <f>"潘可欣"</f>
        <v>潘可欣</v>
      </c>
      <c r="E1742" s="5" t="str">
        <f t="shared" si="182"/>
        <v>女</v>
      </c>
      <c r="F1742" s="5" t="str">
        <f t="shared" si="184"/>
        <v>汉族</v>
      </c>
    </row>
    <row r="1743" ht="30" customHeight="1" spans="1:6">
      <c r="A1743" s="5">
        <v>1741</v>
      </c>
      <c r="B1743" s="5" t="str">
        <f>"36412022010510245983007"</f>
        <v>36412022010510245983007</v>
      </c>
      <c r="C1743" s="5" t="s">
        <v>33</v>
      </c>
      <c r="D1743" s="5" t="str">
        <f>"何美霞"</f>
        <v>何美霞</v>
      </c>
      <c r="E1743" s="5" t="str">
        <f t="shared" si="182"/>
        <v>女</v>
      </c>
      <c r="F1743" s="5" t="str">
        <f t="shared" si="184"/>
        <v>汉族</v>
      </c>
    </row>
    <row r="1744" ht="30" customHeight="1" spans="1:6">
      <c r="A1744" s="5">
        <v>1742</v>
      </c>
      <c r="B1744" s="5" t="str">
        <f>"36412022010512303283740"</f>
        <v>36412022010512303283740</v>
      </c>
      <c r="C1744" s="5" t="s">
        <v>33</v>
      </c>
      <c r="D1744" s="5" t="str">
        <f>"歹雪"</f>
        <v>歹雪</v>
      </c>
      <c r="E1744" s="5" t="str">
        <f t="shared" si="182"/>
        <v>女</v>
      </c>
      <c r="F1744" s="5" t="str">
        <f t="shared" si="184"/>
        <v>汉族</v>
      </c>
    </row>
    <row r="1745" ht="30" customHeight="1" spans="1:6">
      <c r="A1745" s="5">
        <v>1743</v>
      </c>
      <c r="B1745" s="5" t="str">
        <f>"36412022010512520883848"</f>
        <v>36412022010512520883848</v>
      </c>
      <c r="C1745" s="5" t="s">
        <v>33</v>
      </c>
      <c r="D1745" s="5" t="str">
        <f>"文怡"</f>
        <v>文怡</v>
      </c>
      <c r="E1745" s="5" t="str">
        <f t="shared" si="182"/>
        <v>女</v>
      </c>
      <c r="F1745" s="5" t="str">
        <f t="shared" si="184"/>
        <v>汉族</v>
      </c>
    </row>
    <row r="1746" ht="30" customHeight="1" spans="1:6">
      <c r="A1746" s="5">
        <v>1744</v>
      </c>
      <c r="B1746" s="5" t="str">
        <f>"36412022010513055683919"</f>
        <v>36412022010513055683919</v>
      </c>
      <c r="C1746" s="5" t="s">
        <v>33</v>
      </c>
      <c r="D1746" s="5" t="str">
        <f>"吴健婵"</f>
        <v>吴健婵</v>
      </c>
      <c r="E1746" s="5" t="str">
        <f t="shared" si="182"/>
        <v>女</v>
      </c>
      <c r="F1746" s="5" t="str">
        <f t="shared" si="184"/>
        <v>汉族</v>
      </c>
    </row>
    <row r="1747" ht="30" customHeight="1" spans="1:6">
      <c r="A1747" s="5">
        <v>1745</v>
      </c>
      <c r="B1747" s="5" t="str">
        <f>"36412022010513504784107"</f>
        <v>36412022010513504784107</v>
      </c>
      <c r="C1747" s="5" t="s">
        <v>33</v>
      </c>
      <c r="D1747" s="5" t="str">
        <f>"何娇"</f>
        <v>何娇</v>
      </c>
      <c r="E1747" s="5" t="str">
        <f t="shared" si="182"/>
        <v>女</v>
      </c>
      <c r="F1747" s="5" t="str">
        <f t="shared" si="184"/>
        <v>汉族</v>
      </c>
    </row>
    <row r="1748" ht="30" customHeight="1" spans="1:6">
      <c r="A1748" s="5">
        <v>1746</v>
      </c>
      <c r="B1748" s="5" t="str">
        <f>"36412022010515384784679"</f>
        <v>36412022010515384784679</v>
      </c>
      <c r="C1748" s="5" t="s">
        <v>33</v>
      </c>
      <c r="D1748" s="5" t="str">
        <f>"王英"</f>
        <v>王英</v>
      </c>
      <c r="E1748" s="5" t="str">
        <f t="shared" si="182"/>
        <v>女</v>
      </c>
      <c r="F1748" s="5" t="str">
        <f t="shared" si="184"/>
        <v>汉族</v>
      </c>
    </row>
    <row r="1749" ht="30" customHeight="1" spans="1:6">
      <c r="A1749" s="5">
        <v>1747</v>
      </c>
      <c r="B1749" s="5" t="str">
        <f>"36412022010515575484785"</f>
        <v>36412022010515575484785</v>
      </c>
      <c r="C1749" s="5" t="s">
        <v>33</v>
      </c>
      <c r="D1749" s="5" t="str">
        <f>"何锦凤"</f>
        <v>何锦凤</v>
      </c>
      <c r="E1749" s="5" t="str">
        <f t="shared" si="182"/>
        <v>女</v>
      </c>
      <c r="F1749" s="5" t="str">
        <f t="shared" si="184"/>
        <v>汉族</v>
      </c>
    </row>
    <row r="1750" ht="30" customHeight="1" spans="1:6">
      <c r="A1750" s="5">
        <v>1748</v>
      </c>
      <c r="B1750" s="5" t="str">
        <f>"36412022010517550885336"</f>
        <v>36412022010517550885336</v>
      </c>
      <c r="C1750" s="5" t="s">
        <v>33</v>
      </c>
      <c r="D1750" s="5" t="str">
        <f>"王娉娉"</f>
        <v>王娉娉</v>
      </c>
      <c r="E1750" s="5" t="str">
        <f t="shared" si="182"/>
        <v>女</v>
      </c>
      <c r="F1750" s="5" t="str">
        <f t="shared" si="184"/>
        <v>汉族</v>
      </c>
    </row>
    <row r="1751" ht="30" customHeight="1" spans="1:6">
      <c r="A1751" s="5">
        <v>1749</v>
      </c>
      <c r="B1751" s="5" t="str">
        <f>"36412022010519300385676"</f>
        <v>36412022010519300385676</v>
      </c>
      <c r="C1751" s="5" t="s">
        <v>33</v>
      </c>
      <c r="D1751" s="5" t="str">
        <f>"黄财庆"</f>
        <v>黄财庆</v>
      </c>
      <c r="E1751" s="5" t="str">
        <f>"男"</f>
        <v>男</v>
      </c>
      <c r="F1751" s="5" t="str">
        <f t="shared" si="184"/>
        <v>汉族</v>
      </c>
    </row>
    <row r="1752" ht="30" customHeight="1" spans="1:6">
      <c r="A1752" s="5">
        <v>1750</v>
      </c>
      <c r="B1752" s="5" t="str">
        <f>"36412022010519312185685"</f>
        <v>36412022010519312185685</v>
      </c>
      <c r="C1752" s="5" t="s">
        <v>33</v>
      </c>
      <c r="D1752" s="5" t="str">
        <f>"莫春梅"</f>
        <v>莫春梅</v>
      </c>
      <c r="E1752" s="5" t="str">
        <f t="shared" ref="E1752:E1764" si="185">"女"</f>
        <v>女</v>
      </c>
      <c r="F1752" s="5" t="str">
        <f t="shared" si="184"/>
        <v>汉族</v>
      </c>
    </row>
    <row r="1753" ht="30" customHeight="1" spans="1:6">
      <c r="A1753" s="5">
        <v>1751</v>
      </c>
      <c r="B1753" s="5" t="str">
        <f>"36412022010520081885850"</f>
        <v>36412022010520081885850</v>
      </c>
      <c r="C1753" s="5" t="s">
        <v>33</v>
      </c>
      <c r="D1753" s="5" t="str">
        <f>"文书怡"</f>
        <v>文书怡</v>
      </c>
      <c r="E1753" s="5" t="str">
        <f t="shared" si="185"/>
        <v>女</v>
      </c>
      <c r="F1753" s="5" t="str">
        <f t="shared" si="184"/>
        <v>汉族</v>
      </c>
    </row>
    <row r="1754" ht="30" customHeight="1" spans="1:6">
      <c r="A1754" s="5">
        <v>1752</v>
      </c>
      <c r="B1754" s="5" t="str">
        <f>"36412022010520282685936"</f>
        <v>36412022010520282685936</v>
      </c>
      <c r="C1754" s="5" t="s">
        <v>33</v>
      </c>
      <c r="D1754" s="5" t="str">
        <f>"黄彩英"</f>
        <v>黄彩英</v>
      </c>
      <c r="E1754" s="5" t="str">
        <f t="shared" si="185"/>
        <v>女</v>
      </c>
      <c r="F1754" s="5" t="str">
        <f t="shared" si="184"/>
        <v>汉族</v>
      </c>
    </row>
    <row r="1755" ht="30" customHeight="1" spans="1:6">
      <c r="A1755" s="5">
        <v>1753</v>
      </c>
      <c r="B1755" s="5" t="str">
        <f>"36412022010520492186018"</f>
        <v>36412022010520492186018</v>
      </c>
      <c r="C1755" s="5" t="s">
        <v>33</v>
      </c>
      <c r="D1755" s="5" t="str">
        <f>"黄向"</f>
        <v>黄向</v>
      </c>
      <c r="E1755" s="5" t="str">
        <f t="shared" si="185"/>
        <v>女</v>
      </c>
      <c r="F1755" s="5" t="str">
        <f t="shared" si="184"/>
        <v>汉族</v>
      </c>
    </row>
    <row r="1756" ht="30" customHeight="1" spans="1:6">
      <c r="A1756" s="5">
        <v>1754</v>
      </c>
      <c r="B1756" s="5" t="str">
        <f>"36412022010522390686522"</f>
        <v>36412022010522390686522</v>
      </c>
      <c r="C1756" s="5" t="s">
        <v>33</v>
      </c>
      <c r="D1756" s="5" t="str">
        <f>"符祥茹"</f>
        <v>符祥茹</v>
      </c>
      <c r="E1756" s="5" t="str">
        <f t="shared" si="185"/>
        <v>女</v>
      </c>
      <c r="F1756" s="5" t="str">
        <f>"傣族"</f>
        <v>傣族</v>
      </c>
    </row>
    <row r="1757" ht="30" customHeight="1" spans="1:6">
      <c r="A1757" s="5">
        <v>1755</v>
      </c>
      <c r="B1757" s="5" t="str">
        <f>"36412022010523042486591"</f>
        <v>36412022010523042486591</v>
      </c>
      <c r="C1757" s="5" t="s">
        <v>33</v>
      </c>
      <c r="D1757" s="5" t="str">
        <f>"黄垂青"</f>
        <v>黄垂青</v>
      </c>
      <c r="E1757" s="5" t="str">
        <f t="shared" si="185"/>
        <v>女</v>
      </c>
      <c r="F1757" s="5" t="str">
        <f t="shared" ref="F1757:F1773" si="186">"汉族"</f>
        <v>汉族</v>
      </c>
    </row>
    <row r="1758" ht="30" customHeight="1" spans="1:6">
      <c r="A1758" s="5">
        <v>1756</v>
      </c>
      <c r="B1758" s="5" t="str">
        <f>"36412022010610105087265"</f>
        <v>36412022010610105087265</v>
      </c>
      <c r="C1758" s="5" t="s">
        <v>33</v>
      </c>
      <c r="D1758" s="5" t="str">
        <f>"沈艺璇"</f>
        <v>沈艺璇</v>
      </c>
      <c r="E1758" s="5" t="str">
        <f t="shared" si="185"/>
        <v>女</v>
      </c>
      <c r="F1758" s="5" t="str">
        <f t="shared" si="186"/>
        <v>汉族</v>
      </c>
    </row>
    <row r="1759" ht="30" customHeight="1" spans="1:6">
      <c r="A1759" s="5">
        <v>1757</v>
      </c>
      <c r="B1759" s="5" t="str">
        <f>"36412022010610420587412"</f>
        <v>36412022010610420587412</v>
      </c>
      <c r="C1759" s="5" t="s">
        <v>33</v>
      </c>
      <c r="D1759" s="5" t="str">
        <f>"陈国霜"</f>
        <v>陈国霜</v>
      </c>
      <c r="E1759" s="5" t="str">
        <f t="shared" si="185"/>
        <v>女</v>
      </c>
      <c r="F1759" s="5" t="str">
        <f t="shared" si="186"/>
        <v>汉族</v>
      </c>
    </row>
    <row r="1760" ht="30" customHeight="1" spans="1:6">
      <c r="A1760" s="5">
        <v>1758</v>
      </c>
      <c r="B1760" s="5" t="str">
        <f>"36412022010613315988117"</f>
        <v>36412022010613315988117</v>
      </c>
      <c r="C1760" s="5" t="s">
        <v>33</v>
      </c>
      <c r="D1760" s="5" t="str">
        <f>"羊美霞"</f>
        <v>羊美霞</v>
      </c>
      <c r="E1760" s="5" t="str">
        <f t="shared" si="185"/>
        <v>女</v>
      </c>
      <c r="F1760" s="5" t="str">
        <f t="shared" si="186"/>
        <v>汉族</v>
      </c>
    </row>
    <row r="1761" ht="30" customHeight="1" spans="1:6">
      <c r="A1761" s="5">
        <v>1759</v>
      </c>
      <c r="B1761" s="5" t="str">
        <f>"36412022010614571088443"</f>
        <v>36412022010614571088443</v>
      </c>
      <c r="C1761" s="5" t="s">
        <v>33</v>
      </c>
      <c r="D1761" s="5" t="str">
        <f>"刘秋颖"</f>
        <v>刘秋颖</v>
      </c>
      <c r="E1761" s="5" t="str">
        <f t="shared" si="185"/>
        <v>女</v>
      </c>
      <c r="F1761" s="5" t="str">
        <f t="shared" si="186"/>
        <v>汉族</v>
      </c>
    </row>
    <row r="1762" ht="30" customHeight="1" spans="1:6">
      <c r="A1762" s="5">
        <v>1760</v>
      </c>
      <c r="B1762" s="5" t="str">
        <f>"36412022010616070888773"</f>
        <v>36412022010616070888773</v>
      </c>
      <c r="C1762" s="5" t="s">
        <v>33</v>
      </c>
      <c r="D1762" s="5" t="str">
        <f>"周瑞娜"</f>
        <v>周瑞娜</v>
      </c>
      <c r="E1762" s="5" t="str">
        <f t="shared" si="185"/>
        <v>女</v>
      </c>
      <c r="F1762" s="5" t="str">
        <f t="shared" si="186"/>
        <v>汉族</v>
      </c>
    </row>
    <row r="1763" ht="30" customHeight="1" spans="1:6">
      <c r="A1763" s="5">
        <v>1761</v>
      </c>
      <c r="B1763" s="5" t="str">
        <f>"36412022010616092288786"</f>
        <v>36412022010616092288786</v>
      </c>
      <c r="C1763" s="5" t="s">
        <v>33</v>
      </c>
      <c r="D1763" s="5" t="str">
        <f>"吕锡娜"</f>
        <v>吕锡娜</v>
      </c>
      <c r="E1763" s="5" t="str">
        <f t="shared" si="185"/>
        <v>女</v>
      </c>
      <c r="F1763" s="5" t="str">
        <f t="shared" si="186"/>
        <v>汉族</v>
      </c>
    </row>
    <row r="1764" ht="30" customHeight="1" spans="1:6">
      <c r="A1764" s="5">
        <v>1762</v>
      </c>
      <c r="B1764" s="5" t="str">
        <f>"36412022010617050789046"</f>
        <v>36412022010617050789046</v>
      </c>
      <c r="C1764" s="5" t="s">
        <v>33</v>
      </c>
      <c r="D1764" s="5" t="str">
        <f>"吴海丽"</f>
        <v>吴海丽</v>
      </c>
      <c r="E1764" s="5" t="str">
        <f t="shared" si="185"/>
        <v>女</v>
      </c>
      <c r="F1764" s="5" t="str">
        <f t="shared" si="186"/>
        <v>汉族</v>
      </c>
    </row>
    <row r="1765" ht="30" customHeight="1" spans="1:6">
      <c r="A1765" s="5">
        <v>1763</v>
      </c>
      <c r="B1765" s="5" t="str">
        <f>"36412022010622312890155"</f>
        <v>36412022010622312890155</v>
      </c>
      <c r="C1765" s="5" t="s">
        <v>33</v>
      </c>
      <c r="D1765" s="5" t="str">
        <f>"符传超"</f>
        <v>符传超</v>
      </c>
      <c r="E1765" s="5" t="str">
        <f>"男"</f>
        <v>男</v>
      </c>
      <c r="F1765" s="5" t="str">
        <f t="shared" si="186"/>
        <v>汉族</v>
      </c>
    </row>
    <row r="1766" ht="30" customHeight="1" spans="1:6">
      <c r="A1766" s="5">
        <v>1764</v>
      </c>
      <c r="B1766" s="5" t="str">
        <f>"36412022010622363590170"</f>
        <v>36412022010622363590170</v>
      </c>
      <c r="C1766" s="5" t="s">
        <v>33</v>
      </c>
      <c r="D1766" s="5" t="str">
        <f>"林少玲"</f>
        <v>林少玲</v>
      </c>
      <c r="E1766" s="5" t="str">
        <f t="shared" ref="E1766:E1777" si="187">"女"</f>
        <v>女</v>
      </c>
      <c r="F1766" s="5" t="str">
        <f t="shared" si="186"/>
        <v>汉族</v>
      </c>
    </row>
    <row r="1767" ht="30" customHeight="1" spans="1:6">
      <c r="A1767" s="5">
        <v>1765</v>
      </c>
      <c r="B1767" s="5" t="str">
        <f>"36412022010708052790503"</f>
        <v>36412022010708052790503</v>
      </c>
      <c r="C1767" s="5" t="s">
        <v>33</v>
      </c>
      <c r="D1767" s="5" t="str">
        <f>"陈秋如"</f>
        <v>陈秋如</v>
      </c>
      <c r="E1767" s="5" t="str">
        <f t="shared" si="187"/>
        <v>女</v>
      </c>
      <c r="F1767" s="5" t="str">
        <f t="shared" si="186"/>
        <v>汉族</v>
      </c>
    </row>
    <row r="1768" ht="30" customHeight="1" spans="1:6">
      <c r="A1768" s="5">
        <v>1766</v>
      </c>
      <c r="B1768" s="5" t="str">
        <f>"36412022010708153490517"</f>
        <v>36412022010708153490517</v>
      </c>
      <c r="C1768" s="5" t="s">
        <v>33</v>
      </c>
      <c r="D1768" s="5" t="str">
        <f>"王新乾"</f>
        <v>王新乾</v>
      </c>
      <c r="E1768" s="5" t="str">
        <f t="shared" si="187"/>
        <v>女</v>
      </c>
      <c r="F1768" s="5" t="str">
        <f t="shared" si="186"/>
        <v>汉族</v>
      </c>
    </row>
    <row r="1769" ht="30" customHeight="1" spans="1:6">
      <c r="A1769" s="5">
        <v>1767</v>
      </c>
      <c r="B1769" s="5" t="str">
        <f>"36412022010708464390564"</f>
        <v>36412022010708464390564</v>
      </c>
      <c r="C1769" s="5" t="s">
        <v>33</v>
      </c>
      <c r="D1769" s="5" t="str">
        <f>"李相"</f>
        <v>李相</v>
      </c>
      <c r="E1769" s="5" t="str">
        <f t="shared" si="187"/>
        <v>女</v>
      </c>
      <c r="F1769" s="5" t="str">
        <f t="shared" si="186"/>
        <v>汉族</v>
      </c>
    </row>
    <row r="1770" ht="30" customHeight="1" spans="1:6">
      <c r="A1770" s="5">
        <v>1768</v>
      </c>
      <c r="B1770" s="5" t="str">
        <f>"36412022010710371790916"</f>
        <v>36412022010710371790916</v>
      </c>
      <c r="C1770" s="5" t="s">
        <v>33</v>
      </c>
      <c r="D1770" s="5" t="str">
        <f>"吴彦梅"</f>
        <v>吴彦梅</v>
      </c>
      <c r="E1770" s="5" t="str">
        <f t="shared" si="187"/>
        <v>女</v>
      </c>
      <c r="F1770" s="5" t="str">
        <f t="shared" si="186"/>
        <v>汉族</v>
      </c>
    </row>
    <row r="1771" ht="30" customHeight="1" spans="1:6">
      <c r="A1771" s="5">
        <v>1769</v>
      </c>
      <c r="B1771" s="5" t="str">
        <f>"36412022010711033291027"</f>
        <v>36412022010711033291027</v>
      </c>
      <c r="C1771" s="5" t="s">
        <v>33</v>
      </c>
      <c r="D1771" s="5" t="str">
        <f>"欧琳琳"</f>
        <v>欧琳琳</v>
      </c>
      <c r="E1771" s="5" t="str">
        <f t="shared" si="187"/>
        <v>女</v>
      </c>
      <c r="F1771" s="5" t="str">
        <f t="shared" si="186"/>
        <v>汉族</v>
      </c>
    </row>
    <row r="1772" ht="30" customHeight="1" spans="1:6">
      <c r="A1772" s="5">
        <v>1770</v>
      </c>
      <c r="B1772" s="5" t="str">
        <f>"36412022010711043991035"</f>
        <v>36412022010711043991035</v>
      </c>
      <c r="C1772" s="5" t="s">
        <v>33</v>
      </c>
      <c r="D1772" s="5" t="str">
        <f>"陈德静"</f>
        <v>陈德静</v>
      </c>
      <c r="E1772" s="5" t="str">
        <f t="shared" si="187"/>
        <v>女</v>
      </c>
      <c r="F1772" s="5" t="str">
        <f t="shared" si="186"/>
        <v>汉族</v>
      </c>
    </row>
    <row r="1773" ht="30" customHeight="1" spans="1:6">
      <c r="A1773" s="5">
        <v>1771</v>
      </c>
      <c r="B1773" s="5" t="str">
        <f>"36412022010711441491176"</f>
        <v>36412022010711441491176</v>
      </c>
      <c r="C1773" s="5" t="s">
        <v>33</v>
      </c>
      <c r="D1773" s="5" t="str">
        <f>"黄美琪"</f>
        <v>黄美琪</v>
      </c>
      <c r="E1773" s="5" t="str">
        <f t="shared" si="187"/>
        <v>女</v>
      </c>
      <c r="F1773" s="5" t="str">
        <f t="shared" si="186"/>
        <v>汉族</v>
      </c>
    </row>
    <row r="1774" ht="30" customHeight="1" spans="1:6">
      <c r="A1774" s="5">
        <v>1772</v>
      </c>
      <c r="B1774" s="5" t="str">
        <f>"36412022010712422591400"</f>
        <v>36412022010712422591400</v>
      </c>
      <c r="C1774" s="5" t="s">
        <v>33</v>
      </c>
      <c r="D1774" s="5" t="str">
        <f>"黄妮旅"</f>
        <v>黄妮旅</v>
      </c>
      <c r="E1774" s="5" t="str">
        <f t="shared" si="187"/>
        <v>女</v>
      </c>
      <c r="F1774" s="5" t="str">
        <f>"瑶族"</f>
        <v>瑶族</v>
      </c>
    </row>
    <row r="1775" ht="30" customHeight="1" spans="1:6">
      <c r="A1775" s="5">
        <v>1773</v>
      </c>
      <c r="B1775" s="5" t="str">
        <f>"36412022010714535991836"</f>
        <v>36412022010714535991836</v>
      </c>
      <c r="C1775" s="5" t="s">
        <v>33</v>
      </c>
      <c r="D1775" s="5" t="str">
        <f>"韩晨馨"</f>
        <v>韩晨馨</v>
      </c>
      <c r="E1775" s="5" t="str">
        <f t="shared" si="187"/>
        <v>女</v>
      </c>
      <c r="F1775" s="5" t="str">
        <f>"汉族"</f>
        <v>汉族</v>
      </c>
    </row>
    <row r="1776" ht="30" customHeight="1" spans="1:6">
      <c r="A1776" s="5">
        <v>1774</v>
      </c>
      <c r="B1776" s="5" t="str">
        <f>"36412022010715260891953"</f>
        <v>36412022010715260891953</v>
      </c>
      <c r="C1776" s="5" t="s">
        <v>33</v>
      </c>
      <c r="D1776" s="5" t="str">
        <f>"黎亚霞"</f>
        <v>黎亚霞</v>
      </c>
      <c r="E1776" s="5" t="str">
        <f t="shared" si="187"/>
        <v>女</v>
      </c>
      <c r="F1776" s="5" t="str">
        <f>"黎族"</f>
        <v>黎族</v>
      </c>
    </row>
    <row r="1777" ht="30" customHeight="1" spans="1:6">
      <c r="A1777" s="5">
        <v>1775</v>
      </c>
      <c r="B1777" s="5" t="str">
        <f>"36412022010716523292294"</f>
        <v>36412022010716523292294</v>
      </c>
      <c r="C1777" s="5" t="s">
        <v>33</v>
      </c>
      <c r="D1777" s="5" t="str">
        <f>"魏婷婷"</f>
        <v>魏婷婷</v>
      </c>
      <c r="E1777" s="5" t="str">
        <f t="shared" si="187"/>
        <v>女</v>
      </c>
      <c r="F1777" s="5" t="str">
        <f>"汉族"</f>
        <v>汉族</v>
      </c>
    </row>
    <row r="1778" ht="30" customHeight="1" spans="1:6">
      <c r="A1778" s="5">
        <v>1776</v>
      </c>
      <c r="B1778" s="5" t="str">
        <f>"36412022010719301992641"</f>
        <v>36412022010719301992641</v>
      </c>
      <c r="C1778" s="5" t="s">
        <v>33</v>
      </c>
      <c r="D1778" s="5" t="str">
        <f>"林炜粲"</f>
        <v>林炜粲</v>
      </c>
      <c r="E1778" s="5" t="str">
        <f>"男"</f>
        <v>男</v>
      </c>
      <c r="F1778" s="5" t="str">
        <f>"黎族"</f>
        <v>黎族</v>
      </c>
    </row>
    <row r="1779" ht="30" customHeight="1" spans="1:6">
      <c r="A1779" s="5">
        <v>1777</v>
      </c>
      <c r="B1779" s="5" t="str">
        <f>"36412022010721334292854"</f>
        <v>36412022010721334292854</v>
      </c>
      <c r="C1779" s="5" t="s">
        <v>33</v>
      </c>
      <c r="D1779" s="5" t="str">
        <f>"吴漫洪"</f>
        <v>吴漫洪</v>
      </c>
      <c r="E1779" s="5" t="str">
        <f t="shared" ref="E1779:E1793" si="188">"女"</f>
        <v>女</v>
      </c>
      <c r="F1779" s="5" t="str">
        <f>"汉族"</f>
        <v>汉族</v>
      </c>
    </row>
    <row r="1780" ht="30" customHeight="1" spans="1:6">
      <c r="A1780" s="5">
        <v>1778</v>
      </c>
      <c r="B1780" s="5" t="str">
        <f>"36412022010811352793313"</f>
        <v>36412022010811352793313</v>
      </c>
      <c r="C1780" s="5" t="s">
        <v>33</v>
      </c>
      <c r="D1780" s="5" t="str">
        <f>"王昌玉"</f>
        <v>王昌玉</v>
      </c>
      <c r="E1780" s="5" t="str">
        <f t="shared" si="188"/>
        <v>女</v>
      </c>
      <c r="F1780" s="5" t="str">
        <f>"汉族"</f>
        <v>汉族</v>
      </c>
    </row>
    <row r="1781" ht="30" customHeight="1" spans="1:6">
      <c r="A1781" s="5">
        <v>1779</v>
      </c>
      <c r="B1781" s="5" t="str">
        <f>"36412022010816143693701"</f>
        <v>36412022010816143693701</v>
      </c>
      <c r="C1781" s="5" t="s">
        <v>33</v>
      </c>
      <c r="D1781" s="5" t="str">
        <f>"陈秋月"</f>
        <v>陈秋月</v>
      </c>
      <c r="E1781" s="5" t="str">
        <f t="shared" si="188"/>
        <v>女</v>
      </c>
      <c r="F1781" s="5" t="str">
        <f>"汉族"</f>
        <v>汉族</v>
      </c>
    </row>
    <row r="1782" ht="30" customHeight="1" spans="1:6">
      <c r="A1782" s="5">
        <v>1780</v>
      </c>
      <c r="B1782" s="5" t="str">
        <f>"36412022010821161794232"</f>
        <v>36412022010821161794232</v>
      </c>
      <c r="C1782" s="5" t="s">
        <v>33</v>
      </c>
      <c r="D1782" s="5" t="str">
        <f>"林祺莹"</f>
        <v>林祺莹</v>
      </c>
      <c r="E1782" s="5" t="str">
        <f t="shared" si="188"/>
        <v>女</v>
      </c>
      <c r="F1782" s="5" t="str">
        <f>"汉族"</f>
        <v>汉族</v>
      </c>
    </row>
    <row r="1783" ht="30" customHeight="1" spans="1:6">
      <c r="A1783" s="5">
        <v>1781</v>
      </c>
      <c r="B1783" s="5" t="str">
        <f>"36412022010821570594311"</f>
        <v>36412022010821570594311</v>
      </c>
      <c r="C1783" s="5" t="s">
        <v>33</v>
      </c>
      <c r="D1783" s="5" t="str">
        <f>"邓艳凤"</f>
        <v>邓艳凤</v>
      </c>
      <c r="E1783" s="5" t="str">
        <f t="shared" si="188"/>
        <v>女</v>
      </c>
      <c r="F1783" s="5" t="str">
        <f>"汉族"</f>
        <v>汉族</v>
      </c>
    </row>
    <row r="1784" ht="30" customHeight="1" spans="1:6">
      <c r="A1784" s="5">
        <v>1782</v>
      </c>
      <c r="B1784" s="5" t="str">
        <f>"36412022010900030294524"</f>
        <v>36412022010900030294524</v>
      </c>
      <c r="C1784" s="5" t="s">
        <v>33</v>
      </c>
      <c r="D1784" s="5" t="str">
        <f>"邢雅婵"</f>
        <v>邢雅婵</v>
      </c>
      <c r="E1784" s="5" t="str">
        <f t="shared" si="188"/>
        <v>女</v>
      </c>
      <c r="F1784" s="5" t="str">
        <f>"黎族"</f>
        <v>黎族</v>
      </c>
    </row>
    <row r="1785" ht="30" customHeight="1" spans="1:6">
      <c r="A1785" s="5">
        <v>1783</v>
      </c>
      <c r="B1785" s="5" t="str">
        <f>"36412022010909125994637"</f>
        <v>36412022010909125994637</v>
      </c>
      <c r="C1785" s="5" t="s">
        <v>33</v>
      </c>
      <c r="D1785" s="5" t="str">
        <f>"林晓瑜"</f>
        <v>林晓瑜</v>
      </c>
      <c r="E1785" s="5" t="str">
        <f t="shared" si="188"/>
        <v>女</v>
      </c>
      <c r="F1785" s="5" t="str">
        <f t="shared" ref="F1785:F1813" si="189">"汉族"</f>
        <v>汉族</v>
      </c>
    </row>
    <row r="1786" ht="30" customHeight="1" spans="1:6">
      <c r="A1786" s="5">
        <v>1784</v>
      </c>
      <c r="B1786" s="5" t="str">
        <f>"36412022010909415394674"</f>
        <v>36412022010909415394674</v>
      </c>
      <c r="C1786" s="5" t="s">
        <v>33</v>
      </c>
      <c r="D1786" s="5" t="str">
        <f>"陈燕萍"</f>
        <v>陈燕萍</v>
      </c>
      <c r="E1786" s="5" t="str">
        <f t="shared" si="188"/>
        <v>女</v>
      </c>
      <c r="F1786" s="5" t="str">
        <f t="shared" si="189"/>
        <v>汉族</v>
      </c>
    </row>
    <row r="1787" ht="30" customHeight="1" spans="1:6">
      <c r="A1787" s="5">
        <v>1785</v>
      </c>
      <c r="B1787" s="5" t="str">
        <f>"36412022010910054894710"</f>
        <v>36412022010910054894710</v>
      </c>
      <c r="C1787" s="5" t="s">
        <v>33</v>
      </c>
      <c r="D1787" s="5" t="str">
        <f>"陈玲"</f>
        <v>陈玲</v>
      </c>
      <c r="E1787" s="5" t="str">
        <f t="shared" si="188"/>
        <v>女</v>
      </c>
      <c r="F1787" s="5" t="str">
        <f t="shared" si="189"/>
        <v>汉族</v>
      </c>
    </row>
    <row r="1788" ht="30" customHeight="1" spans="1:6">
      <c r="A1788" s="5">
        <v>1786</v>
      </c>
      <c r="B1788" s="5" t="str">
        <f>"36412022010912311995086"</f>
        <v>36412022010912311995086</v>
      </c>
      <c r="C1788" s="5" t="s">
        <v>33</v>
      </c>
      <c r="D1788" s="5" t="str">
        <f>"王玉霞"</f>
        <v>王玉霞</v>
      </c>
      <c r="E1788" s="5" t="str">
        <f t="shared" si="188"/>
        <v>女</v>
      </c>
      <c r="F1788" s="5" t="str">
        <f t="shared" si="189"/>
        <v>汉族</v>
      </c>
    </row>
    <row r="1789" ht="30" customHeight="1" spans="1:6">
      <c r="A1789" s="5">
        <v>1787</v>
      </c>
      <c r="B1789" s="5" t="str">
        <f>"36412022010912452395110"</f>
        <v>36412022010912452395110</v>
      </c>
      <c r="C1789" s="5" t="s">
        <v>33</v>
      </c>
      <c r="D1789" s="5" t="str">
        <f>"杨舒婷"</f>
        <v>杨舒婷</v>
      </c>
      <c r="E1789" s="5" t="str">
        <f t="shared" si="188"/>
        <v>女</v>
      </c>
      <c r="F1789" s="5" t="str">
        <f t="shared" si="189"/>
        <v>汉族</v>
      </c>
    </row>
    <row r="1790" ht="30" customHeight="1" spans="1:6">
      <c r="A1790" s="5">
        <v>1788</v>
      </c>
      <c r="B1790" s="5" t="str">
        <f>"36412022010912592595142"</f>
        <v>36412022010912592595142</v>
      </c>
      <c r="C1790" s="5" t="s">
        <v>33</v>
      </c>
      <c r="D1790" s="5" t="str">
        <f>"宋艳芳"</f>
        <v>宋艳芳</v>
      </c>
      <c r="E1790" s="5" t="str">
        <f t="shared" si="188"/>
        <v>女</v>
      </c>
      <c r="F1790" s="5" t="str">
        <f t="shared" si="189"/>
        <v>汉族</v>
      </c>
    </row>
    <row r="1791" ht="30" customHeight="1" spans="1:6">
      <c r="A1791" s="5">
        <v>1789</v>
      </c>
      <c r="B1791" s="5" t="str">
        <f>"36412022010912594695144"</f>
        <v>36412022010912594695144</v>
      </c>
      <c r="C1791" s="5" t="s">
        <v>33</v>
      </c>
      <c r="D1791" s="5" t="str">
        <f>"王妹"</f>
        <v>王妹</v>
      </c>
      <c r="E1791" s="5" t="str">
        <f t="shared" si="188"/>
        <v>女</v>
      </c>
      <c r="F1791" s="5" t="str">
        <f t="shared" si="189"/>
        <v>汉族</v>
      </c>
    </row>
    <row r="1792" ht="30" customHeight="1" spans="1:6">
      <c r="A1792" s="5">
        <v>1790</v>
      </c>
      <c r="B1792" s="5" t="str">
        <f>"36412022010914264595323"</f>
        <v>36412022010914264595323</v>
      </c>
      <c r="C1792" s="5" t="s">
        <v>33</v>
      </c>
      <c r="D1792" s="5" t="str">
        <f>"董茂娥"</f>
        <v>董茂娥</v>
      </c>
      <c r="E1792" s="5" t="str">
        <f t="shared" si="188"/>
        <v>女</v>
      </c>
      <c r="F1792" s="5" t="str">
        <f t="shared" si="189"/>
        <v>汉族</v>
      </c>
    </row>
    <row r="1793" ht="30" customHeight="1" spans="1:6">
      <c r="A1793" s="5">
        <v>1791</v>
      </c>
      <c r="B1793" s="5" t="str">
        <f>"36412022010914300395331"</f>
        <v>36412022010914300395331</v>
      </c>
      <c r="C1793" s="5" t="s">
        <v>33</v>
      </c>
      <c r="D1793" s="5" t="str">
        <f>"金周琴"</f>
        <v>金周琴</v>
      </c>
      <c r="E1793" s="5" t="str">
        <f t="shared" si="188"/>
        <v>女</v>
      </c>
      <c r="F1793" s="5" t="str">
        <f t="shared" si="189"/>
        <v>汉族</v>
      </c>
    </row>
    <row r="1794" ht="30" customHeight="1" spans="1:6">
      <c r="A1794" s="5">
        <v>1792</v>
      </c>
      <c r="B1794" s="5" t="str">
        <f>"36412022010916472495627"</f>
        <v>36412022010916472495627</v>
      </c>
      <c r="C1794" s="5" t="s">
        <v>33</v>
      </c>
      <c r="D1794" s="5" t="str">
        <f>"陈若钧"</f>
        <v>陈若钧</v>
      </c>
      <c r="E1794" s="5" t="str">
        <f>"男"</f>
        <v>男</v>
      </c>
      <c r="F1794" s="5" t="str">
        <f t="shared" si="189"/>
        <v>汉族</v>
      </c>
    </row>
    <row r="1795" ht="30" customHeight="1" spans="1:6">
      <c r="A1795" s="5">
        <v>1793</v>
      </c>
      <c r="B1795" s="5" t="str">
        <f>"36412022010918415295761"</f>
        <v>36412022010918415295761</v>
      </c>
      <c r="C1795" s="5" t="s">
        <v>33</v>
      </c>
      <c r="D1795" s="5" t="str">
        <f>"叶江岚"</f>
        <v>叶江岚</v>
      </c>
      <c r="E1795" s="5" t="str">
        <f t="shared" ref="E1795:E1840" si="190">"女"</f>
        <v>女</v>
      </c>
      <c r="F1795" s="5" t="str">
        <f t="shared" si="189"/>
        <v>汉族</v>
      </c>
    </row>
    <row r="1796" ht="30" customHeight="1" spans="1:6">
      <c r="A1796" s="5">
        <v>1794</v>
      </c>
      <c r="B1796" s="5" t="str">
        <f>"36412022010919052695784"</f>
        <v>36412022010919052695784</v>
      </c>
      <c r="C1796" s="5" t="s">
        <v>33</v>
      </c>
      <c r="D1796" s="5" t="str">
        <f>"朱旭颖"</f>
        <v>朱旭颖</v>
      </c>
      <c r="E1796" s="5" t="str">
        <f t="shared" si="190"/>
        <v>女</v>
      </c>
      <c r="F1796" s="5" t="str">
        <f t="shared" si="189"/>
        <v>汉族</v>
      </c>
    </row>
    <row r="1797" ht="30" customHeight="1" spans="1:6">
      <c r="A1797" s="5">
        <v>1795</v>
      </c>
      <c r="B1797" s="5" t="str">
        <f>"36412022010921362296035"</f>
        <v>36412022010921362296035</v>
      </c>
      <c r="C1797" s="5" t="s">
        <v>33</v>
      </c>
      <c r="D1797" s="5" t="str">
        <f>"陈泰苑"</f>
        <v>陈泰苑</v>
      </c>
      <c r="E1797" s="5" t="str">
        <f t="shared" si="190"/>
        <v>女</v>
      </c>
      <c r="F1797" s="5" t="str">
        <f t="shared" si="189"/>
        <v>汉族</v>
      </c>
    </row>
    <row r="1798" ht="30" customHeight="1" spans="1:6">
      <c r="A1798" s="5">
        <v>1796</v>
      </c>
      <c r="B1798" s="5" t="str">
        <f>"36412022010921490196063"</f>
        <v>36412022010921490196063</v>
      </c>
      <c r="C1798" s="5" t="s">
        <v>33</v>
      </c>
      <c r="D1798" s="5" t="str">
        <f>"符家贇"</f>
        <v>符家贇</v>
      </c>
      <c r="E1798" s="5" t="str">
        <f t="shared" si="190"/>
        <v>女</v>
      </c>
      <c r="F1798" s="5" t="str">
        <f t="shared" si="189"/>
        <v>汉族</v>
      </c>
    </row>
    <row r="1799" ht="30" customHeight="1" spans="1:6">
      <c r="A1799" s="5">
        <v>1797</v>
      </c>
      <c r="B1799" s="5" t="str">
        <f>"36412022010921541996073"</f>
        <v>36412022010921541996073</v>
      </c>
      <c r="C1799" s="5" t="s">
        <v>33</v>
      </c>
      <c r="D1799" s="5" t="str">
        <f>"王蔚"</f>
        <v>王蔚</v>
      </c>
      <c r="E1799" s="5" t="str">
        <f t="shared" si="190"/>
        <v>女</v>
      </c>
      <c r="F1799" s="5" t="str">
        <f t="shared" si="189"/>
        <v>汉族</v>
      </c>
    </row>
    <row r="1800" ht="30" customHeight="1" spans="1:6">
      <c r="A1800" s="5">
        <v>1798</v>
      </c>
      <c r="B1800" s="5" t="str">
        <f>"36412022010922140296109"</f>
        <v>36412022010922140296109</v>
      </c>
      <c r="C1800" s="5" t="s">
        <v>33</v>
      </c>
      <c r="D1800" s="5" t="str">
        <f>"黄潮霞"</f>
        <v>黄潮霞</v>
      </c>
      <c r="E1800" s="5" t="str">
        <f t="shared" si="190"/>
        <v>女</v>
      </c>
      <c r="F1800" s="5" t="str">
        <f t="shared" si="189"/>
        <v>汉族</v>
      </c>
    </row>
    <row r="1801" ht="30" customHeight="1" spans="1:6">
      <c r="A1801" s="5">
        <v>1799</v>
      </c>
      <c r="B1801" s="5" t="str">
        <f>"36412022011000104296260"</f>
        <v>36412022011000104296260</v>
      </c>
      <c r="C1801" s="5" t="s">
        <v>33</v>
      </c>
      <c r="D1801" s="5" t="str">
        <f>"叶华梅"</f>
        <v>叶华梅</v>
      </c>
      <c r="E1801" s="5" t="str">
        <f t="shared" si="190"/>
        <v>女</v>
      </c>
      <c r="F1801" s="5" t="str">
        <f t="shared" si="189"/>
        <v>汉族</v>
      </c>
    </row>
    <row r="1802" ht="30" customHeight="1" spans="1:6">
      <c r="A1802" s="5">
        <v>1800</v>
      </c>
      <c r="B1802" s="5" t="str">
        <f>"36412022011000452596281"</f>
        <v>36412022011000452596281</v>
      </c>
      <c r="C1802" s="5" t="s">
        <v>33</v>
      </c>
      <c r="D1802" s="5" t="str">
        <f>"符艳姣"</f>
        <v>符艳姣</v>
      </c>
      <c r="E1802" s="5" t="str">
        <f t="shared" si="190"/>
        <v>女</v>
      </c>
      <c r="F1802" s="5" t="str">
        <f t="shared" si="189"/>
        <v>汉族</v>
      </c>
    </row>
    <row r="1803" ht="30" customHeight="1" spans="1:6">
      <c r="A1803" s="5">
        <v>1801</v>
      </c>
      <c r="B1803" s="5" t="str">
        <f>"36412022011008030596334"</f>
        <v>36412022011008030596334</v>
      </c>
      <c r="C1803" s="5" t="s">
        <v>33</v>
      </c>
      <c r="D1803" s="5" t="str">
        <f>"谢媛媛"</f>
        <v>谢媛媛</v>
      </c>
      <c r="E1803" s="5" t="str">
        <f t="shared" si="190"/>
        <v>女</v>
      </c>
      <c r="F1803" s="5" t="str">
        <f t="shared" si="189"/>
        <v>汉族</v>
      </c>
    </row>
    <row r="1804" ht="30" customHeight="1" spans="1:6">
      <c r="A1804" s="5">
        <v>1802</v>
      </c>
      <c r="B1804" s="5" t="str">
        <f>"36412022011008261496358"</f>
        <v>36412022011008261496358</v>
      </c>
      <c r="C1804" s="5" t="s">
        <v>33</v>
      </c>
      <c r="D1804" s="5" t="str">
        <f>"羊钰婷"</f>
        <v>羊钰婷</v>
      </c>
      <c r="E1804" s="5" t="str">
        <f t="shared" si="190"/>
        <v>女</v>
      </c>
      <c r="F1804" s="5" t="str">
        <f t="shared" si="189"/>
        <v>汉族</v>
      </c>
    </row>
    <row r="1805" ht="30" customHeight="1" spans="1:6">
      <c r="A1805" s="5">
        <v>1803</v>
      </c>
      <c r="B1805" s="5" t="str">
        <f>"36412022011009003296406"</f>
        <v>36412022011009003296406</v>
      </c>
      <c r="C1805" s="5" t="s">
        <v>33</v>
      </c>
      <c r="D1805" s="5" t="str">
        <f>"卜开英"</f>
        <v>卜开英</v>
      </c>
      <c r="E1805" s="5" t="str">
        <f t="shared" si="190"/>
        <v>女</v>
      </c>
      <c r="F1805" s="5" t="str">
        <f t="shared" si="189"/>
        <v>汉族</v>
      </c>
    </row>
    <row r="1806" ht="30" customHeight="1" spans="1:6">
      <c r="A1806" s="5">
        <v>1804</v>
      </c>
      <c r="B1806" s="5" t="str">
        <f>"36412022011009104696438"</f>
        <v>36412022011009104696438</v>
      </c>
      <c r="C1806" s="5" t="s">
        <v>33</v>
      </c>
      <c r="D1806" s="5" t="str">
        <f>"陈沙沙"</f>
        <v>陈沙沙</v>
      </c>
      <c r="E1806" s="5" t="str">
        <f t="shared" si="190"/>
        <v>女</v>
      </c>
      <c r="F1806" s="5" t="str">
        <f t="shared" si="189"/>
        <v>汉族</v>
      </c>
    </row>
    <row r="1807" ht="30" customHeight="1" spans="1:6">
      <c r="A1807" s="5">
        <v>1805</v>
      </c>
      <c r="B1807" s="5" t="str">
        <f>"36412022011009295596490"</f>
        <v>36412022011009295596490</v>
      </c>
      <c r="C1807" s="5" t="s">
        <v>33</v>
      </c>
      <c r="D1807" s="5" t="str">
        <f>"黄琼哗"</f>
        <v>黄琼哗</v>
      </c>
      <c r="E1807" s="5" t="str">
        <f t="shared" si="190"/>
        <v>女</v>
      </c>
      <c r="F1807" s="5" t="str">
        <f t="shared" si="189"/>
        <v>汉族</v>
      </c>
    </row>
    <row r="1808" ht="30" customHeight="1" spans="1:6">
      <c r="A1808" s="5">
        <v>1806</v>
      </c>
      <c r="B1808" s="5" t="str">
        <f>"36412022011009431796524"</f>
        <v>36412022011009431796524</v>
      </c>
      <c r="C1808" s="5" t="s">
        <v>33</v>
      </c>
      <c r="D1808" s="5" t="str">
        <f>"秦栏娟"</f>
        <v>秦栏娟</v>
      </c>
      <c r="E1808" s="5" t="str">
        <f t="shared" si="190"/>
        <v>女</v>
      </c>
      <c r="F1808" s="5" t="str">
        <f t="shared" si="189"/>
        <v>汉族</v>
      </c>
    </row>
    <row r="1809" ht="30" customHeight="1" spans="1:6">
      <c r="A1809" s="5">
        <v>1807</v>
      </c>
      <c r="B1809" s="5" t="str">
        <f>"36412022011009520096555"</f>
        <v>36412022011009520096555</v>
      </c>
      <c r="C1809" s="5" t="s">
        <v>33</v>
      </c>
      <c r="D1809" s="5" t="str">
        <f>"李晓波"</f>
        <v>李晓波</v>
      </c>
      <c r="E1809" s="5" t="str">
        <f t="shared" si="190"/>
        <v>女</v>
      </c>
      <c r="F1809" s="5" t="str">
        <f t="shared" si="189"/>
        <v>汉族</v>
      </c>
    </row>
    <row r="1810" ht="30" customHeight="1" spans="1:6">
      <c r="A1810" s="5">
        <v>1808</v>
      </c>
      <c r="B1810" s="5" t="str">
        <f>"36412022011010245396672"</f>
        <v>36412022011010245396672</v>
      </c>
      <c r="C1810" s="5" t="s">
        <v>33</v>
      </c>
      <c r="D1810" s="5" t="str">
        <f>"符小慧"</f>
        <v>符小慧</v>
      </c>
      <c r="E1810" s="5" t="str">
        <f t="shared" si="190"/>
        <v>女</v>
      </c>
      <c r="F1810" s="5" t="str">
        <f t="shared" si="189"/>
        <v>汉族</v>
      </c>
    </row>
    <row r="1811" ht="30" customHeight="1" spans="1:6">
      <c r="A1811" s="5">
        <v>1809</v>
      </c>
      <c r="B1811" s="5" t="str">
        <f>"36412022011010585796775"</f>
        <v>36412022011010585796775</v>
      </c>
      <c r="C1811" s="5" t="s">
        <v>33</v>
      </c>
      <c r="D1811" s="5" t="str">
        <f>"李吉恋"</f>
        <v>李吉恋</v>
      </c>
      <c r="E1811" s="5" t="str">
        <f t="shared" si="190"/>
        <v>女</v>
      </c>
      <c r="F1811" s="5" t="str">
        <f t="shared" si="189"/>
        <v>汉族</v>
      </c>
    </row>
    <row r="1812" ht="30" customHeight="1" spans="1:6">
      <c r="A1812" s="5">
        <v>1810</v>
      </c>
      <c r="B1812" s="5" t="str">
        <f>"36412022011011100296827"</f>
        <v>36412022011011100296827</v>
      </c>
      <c r="C1812" s="5" t="s">
        <v>33</v>
      </c>
      <c r="D1812" s="5" t="str">
        <f>"吴培玉"</f>
        <v>吴培玉</v>
      </c>
      <c r="E1812" s="5" t="str">
        <f t="shared" si="190"/>
        <v>女</v>
      </c>
      <c r="F1812" s="5" t="str">
        <f t="shared" si="189"/>
        <v>汉族</v>
      </c>
    </row>
    <row r="1813" ht="30" customHeight="1" spans="1:6">
      <c r="A1813" s="5">
        <v>1811</v>
      </c>
      <c r="B1813" s="5" t="str">
        <f>"36412022011011480396949"</f>
        <v>36412022011011480396949</v>
      </c>
      <c r="C1813" s="5" t="s">
        <v>33</v>
      </c>
      <c r="D1813" s="5" t="str">
        <f>"符谷丹"</f>
        <v>符谷丹</v>
      </c>
      <c r="E1813" s="5" t="str">
        <f t="shared" si="190"/>
        <v>女</v>
      </c>
      <c r="F1813" s="5" t="str">
        <f t="shared" si="189"/>
        <v>汉族</v>
      </c>
    </row>
    <row r="1814" ht="30" customHeight="1" spans="1:6">
      <c r="A1814" s="5">
        <v>1812</v>
      </c>
      <c r="B1814" s="5" t="str">
        <f>"36412021123109022969635"</f>
        <v>36412021123109022969635</v>
      </c>
      <c r="C1814" s="5" t="s">
        <v>34</v>
      </c>
      <c r="D1814" s="5" t="str">
        <f>"谢璇蔚"</f>
        <v>谢璇蔚</v>
      </c>
      <c r="E1814" s="5" t="str">
        <f t="shared" si="190"/>
        <v>女</v>
      </c>
      <c r="F1814" s="5" t="str">
        <f>"壮族"</f>
        <v>壮族</v>
      </c>
    </row>
    <row r="1815" ht="30" customHeight="1" spans="1:6">
      <c r="A1815" s="5">
        <v>1813</v>
      </c>
      <c r="B1815" s="5" t="str">
        <f>"36412021123109023769637"</f>
        <v>36412021123109023769637</v>
      </c>
      <c r="C1815" s="5" t="s">
        <v>34</v>
      </c>
      <c r="D1815" s="5" t="str">
        <f>"王海珠"</f>
        <v>王海珠</v>
      </c>
      <c r="E1815" s="5" t="str">
        <f t="shared" si="190"/>
        <v>女</v>
      </c>
      <c r="F1815" s="5" t="str">
        <f t="shared" ref="F1815:F1825" si="191">"汉族"</f>
        <v>汉族</v>
      </c>
    </row>
    <row r="1816" ht="30" customHeight="1" spans="1:6">
      <c r="A1816" s="5">
        <v>1814</v>
      </c>
      <c r="B1816" s="5" t="str">
        <f>"36412021123109215469735"</f>
        <v>36412021123109215469735</v>
      </c>
      <c r="C1816" s="5" t="s">
        <v>34</v>
      </c>
      <c r="D1816" s="5" t="str">
        <f>"王紫平"</f>
        <v>王紫平</v>
      </c>
      <c r="E1816" s="5" t="str">
        <f t="shared" si="190"/>
        <v>女</v>
      </c>
      <c r="F1816" s="5" t="str">
        <f t="shared" si="191"/>
        <v>汉族</v>
      </c>
    </row>
    <row r="1817" ht="30" customHeight="1" spans="1:6">
      <c r="A1817" s="5">
        <v>1815</v>
      </c>
      <c r="B1817" s="5" t="str">
        <f>"36412021123109241669745"</f>
        <v>36412021123109241669745</v>
      </c>
      <c r="C1817" s="5" t="s">
        <v>34</v>
      </c>
      <c r="D1817" s="5" t="str">
        <f>"杨文玉"</f>
        <v>杨文玉</v>
      </c>
      <c r="E1817" s="5" t="str">
        <f t="shared" si="190"/>
        <v>女</v>
      </c>
      <c r="F1817" s="5" t="str">
        <f t="shared" si="191"/>
        <v>汉族</v>
      </c>
    </row>
    <row r="1818" ht="30" customHeight="1" spans="1:6">
      <c r="A1818" s="5">
        <v>1816</v>
      </c>
      <c r="B1818" s="5" t="str">
        <f>"36412021123109250469748"</f>
        <v>36412021123109250469748</v>
      </c>
      <c r="C1818" s="5" t="s">
        <v>34</v>
      </c>
      <c r="D1818" s="5" t="str">
        <f>"冯文彬"</f>
        <v>冯文彬</v>
      </c>
      <c r="E1818" s="5" t="str">
        <f t="shared" si="190"/>
        <v>女</v>
      </c>
      <c r="F1818" s="5" t="str">
        <f t="shared" si="191"/>
        <v>汉族</v>
      </c>
    </row>
    <row r="1819" ht="30" customHeight="1" spans="1:6">
      <c r="A1819" s="5">
        <v>1817</v>
      </c>
      <c r="B1819" s="5" t="str">
        <f>"36412021123109382569800"</f>
        <v>36412021123109382569800</v>
      </c>
      <c r="C1819" s="5" t="s">
        <v>34</v>
      </c>
      <c r="D1819" s="5" t="str">
        <f>"唐台玲"</f>
        <v>唐台玲</v>
      </c>
      <c r="E1819" s="5" t="str">
        <f t="shared" si="190"/>
        <v>女</v>
      </c>
      <c r="F1819" s="5" t="str">
        <f t="shared" si="191"/>
        <v>汉族</v>
      </c>
    </row>
    <row r="1820" ht="30" customHeight="1" spans="1:6">
      <c r="A1820" s="5">
        <v>1818</v>
      </c>
      <c r="B1820" s="5" t="str">
        <f>"36412021123109431269822"</f>
        <v>36412021123109431269822</v>
      </c>
      <c r="C1820" s="5" t="s">
        <v>34</v>
      </c>
      <c r="D1820" s="5" t="str">
        <f>"陈韵"</f>
        <v>陈韵</v>
      </c>
      <c r="E1820" s="5" t="str">
        <f t="shared" si="190"/>
        <v>女</v>
      </c>
      <c r="F1820" s="5" t="str">
        <f t="shared" si="191"/>
        <v>汉族</v>
      </c>
    </row>
    <row r="1821" ht="30" customHeight="1" spans="1:6">
      <c r="A1821" s="5">
        <v>1819</v>
      </c>
      <c r="B1821" s="5" t="str">
        <f>"36412021123109452669835"</f>
        <v>36412021123109452669835</v>
      </c>
      <c r="C1821" s="5" t="s">
        <v>34</v>
      </c>
      <c r="D1821" s="5" t="str">
        <f>"符淑年"</f>
        <v>符淑年</v>
      </c>
      <c r="E1821" s="5" t="str">
        <f t="shared" si="190"/>
        <v>女</v>
      </c>
      <c r="F1821" s="5" t="str">
        <f t="shared" si="191"/>
        <v>汉族</v>
      </c>
    </row>
    <row r="1822" ht="30" customHeight="1" spans="1:6">
      <c r="A1822" s="5">
        <v>1820</v>
      </c>
      <c r="B1822" s="5" t="str">
        <f>"36412021123109453869836"</f>
        <v>36412021123109453869836</v>
      </c>
      <c r="C1822" s="5" t="s">
        <v>34</v>
      </c>
      <c r="D1822" s="5" t="str">
        <f>"王红姑"</f>
        <v>王红姑</v>
      </c>
      <c r="E1822" s="5" t="str">
        <f t="shared" si="190"/>
        <v>女</v>
      </c>
      <c r="F1822" s="5" t="str">
        <f t="shared" si="191"/>
        <v>汉族</v>
      </c>
    </row>
    <row r="1823" ht="30" customHeight="1" spans="1:6">
      <c r="A1823" s="5">
        <v>1821</v>
      </c>
      <c r="B1823" s="5" t="str">
        <f>"36412021123109514769858"</f>
        <v>36412021123109514769858</v>
      </c>
      <c r="C1823" s="5" t="s">
        <v>34</v>
      </c>
      <c r="D1823" s="5" t="str">
        <f>"黄小滨"</f>
        <v>黄小滨</v>
      </c>
      <c r="E1823" s="5" t="str">
        <f t="shared" si="190"/>
        <v>女</v>
      </c>
      <c r="F1823" s="5" t="str">
        <f t="shared" si="191"/>
        <v>汉族</v>
      </c>
    </row>
    <row r="1824" ht="30" customHeight="1" spans="1:6">
      <c r="A1824" s="5">
        <v>1822</v>
      </c>
      <c r="B1824" s="5" t="str">
        <f>"36412021123109533969870"</f>
        <v>36412021123109533969870</v>
      </c>
      <c r="C1824" s="5" t="s">
        <v>34</v>
      </c>
      <c r="D1824" s="5" t="str">
        <f>"邢美娟"</f>
        <v>邢美娟</v>
      </c>
      <c r="E1824" s="5" t="str">
        <f t="shared" si="190"/>
        <v>女</v>
      </c>
      <c r="F1824" s="5" t="str">
        <f t="shared" si="191"/>
        <v>汉族</v>
      </c>
    </row>
    <row r="1825" ht="30" customHeight="1" spans="1:6">
      <c r="A1825" s="5">
        <v>1823</v>
      </c>
      <c r="B1825" s="5" t="str">
        <f>"36412021123110040869924"</f>
        <v>36412021123110040869924</v>
      </c>
      <c r="C1825" s="5" t="s">
        <v>34</v>
      </c>
      <c r="D1825" s="5" t="str">
        <f>"汤博芬"</f>
        <v>汤博芬</v>
      </c>
      <c r="E1825" s="5" t="str">
        <f t="shared" si="190"/>
        <v>女</v>
      </c>
      <c r="F1825" s="5" t="str">
        <f t="shared" si="191"/>
        <v>汉族</v>
      </c>
    </row>
    <row r="1826" ht="30" customHeight="1" spans="1:6">
      <c r="A1826" s="5">
        <v>1824</v>
      </c>
      <c r="B1826" s="5" t="str">
        <f>"36412021123110082069942"</f>
        <v>36412021123110082069942</v>
      </c>
      <c r="C1826" s="5" t="s">
        <v>34</v>
      </c>
      <c r="D1826" s="5" t="str">
        <f>"符淑玉"</f>
        <v>符淑玉</v>
      </c>
      <c r="E1826" s="5" t="str">
        <f t="shared" si="190"/>
        <v>女</v>
      </c>
      <c r="F1826" s="5" t="str">
        <f>"黎族"</f>
        <v>黎族</v>
      </c>
    </row>
    <row r="1827" ht="30" customHeight="1" spans="1:6">
      <c r="A1827" s="5">
        <v>1825</v>
      </c>
      <c r="B1827" s="5" t="str">
        <f>"36412021123110114269955"</f>
        <v>36412021123110114269955</v>
      </c>
      <c r="C1827" s="5" t="s">
        <v>34</v>
      </c>
      <c r="D1827" s="5" t="str">
        <f>"王华琴"</f>
        <v>王华琴</v>
      </c>
      <c r="E1827" s="5" t="str">
        <f t="shared" si="190"/>
        <v>女</v>
      </c>
      <c r="F1827" s="5" t="str">
        <f>"汉族"</f>
        <v>汉族</v>
      </c>
    </row>
    <row r="1828" ht="30" customHeight="1" spans="1:6">
      <c r="A1828" s="5">
        <v>1826</v>
      </c>
      <c r="B1828" s="5" t="str">
        <f>"36412021123110200469999"</f>
        <v>36412021123110200469999</v>
      </c>
      <c r="C1828" s="5" t="s">
        <v>34</v>
      </c>
      <c r="D1828" s="5" t="str">
        <f>"胡雪玲"</f>
        <v>胡雪玲</v>
      </c>
      <c r="E1828" s="5" t="str">
        <f t="shared" si="190"/>
        <v>女</v>
      </c>
      <c r="F1828" s="5" t="str">
        <f>"黎族"</f>
        <v>黎族</v>
      </c>
    </row>
    <row r="1829" ht="30" customHeight="1" spans="1:6">
      <c r="A1829" s="5">
        <v>1827</v>
      </c>
      <c r="B1829" s="5" t="str">
        <f>"36412021123110234670020"</f>
        <v>36412021123110234670020</v>
      </c>
      <c r="C1829" s="5" t="s">
        <v>34</v>
      </c>
      <c r="D1829" s="5" t="str">
        <f>"符启娇"</f>
        <v>符启娇</v>
      </c>
      <c r="E1829" s="5" t="str">
        <f t="shared" si="190"/>
        <v>女</v>
      </c>
      <c r="F1829" s="5" t="str">
        <f t="shared" ref="F1829:F1840" si="192">"汉族"</f>
        <v>汉族</v>
      </c>
    </row>
    <row r="1830" ht="30" customHeight="1" spans="1:6">
      <c r="A1830" s="5">
        <v>1828</v>
      </c>
      <c r="B1830" s="5" t="str">
        <f>"36412021123110304970058"</f>
        <v>36412021123110304970058</v>
      </c>
      <c r="C1830" s="5" t="s">
        <v>34</v>
      </c>
      <c r="D1830" s="5" t="str">
        <f>"吴珍"</f>
        <v>吴珍</v>
      </c>
      <c r="E1830" s="5" t="str">
        <f t="shared" si="190"/>
        <v>女</v>
      </c>
      <c r="F1830" s="5" t="str">
        <f t="shared" si="192"/>
        <v>汉族</v>
      </c>
    </row>
    <row r="1831" ht="30" customHeight="1" spans="1:6">
      <c r="A1831" s="5">
        <v>1829</v>
      </c>
      <c r="B1831" s="5" t="str">
        <f>"36412021123110511670156"</f>
        <v>36412021123110511670156</v>
      </c>
      <c r="C1831" s="5" t="s">
        <v>34</v>
      </c>
      <c r="D1831" s="5" t="str">
        <f>"符敏燕"</f>
        <v>符敏燕</v>
      </c>
      <c r="E1831" s="5" t="str">
        <f t="shared" si="190"/>
        <v>女</v>
      </c>
      <c r="F1831" s="5" t="str">
        <f t="shared" si="192"/>
        <v>汉族</v>
      </c>
    </row>
    <row r="1832" ht="30" customHeight="1" spans="1:6">
      <c r="A1832" s="5">
        <v>1830</v>
      </c>
      <c r="B1832" s="5" t="str">
        <f>"36412021123111033970205"</f>
        <v>36412021123111033970205</v>
      </c>
      <c r="C1832" s="5" t="s">
        <v>34</v>
      </c>
      <c r="D1832" s="5" t="str">
        <f>"吴兴洁"</f>
        <v>吴兴洁</v>
      </c>
      <c r="E1832" s="5" t="str">
        <f t="shared" si="190"/>
        <v>女</v>
      </c>
      <c r="F1832" s="5" t="str">
        <f t="shared" si="192"/>
        <v>汉族</v>
      </c>
    </row>
    <row r="1833" ht="30" customHeight="1" spans="1:6">
      <c r="A1833" s="5">
        <v>1831</v>
      </c>
      <c r="B1833" s="5" t="str">
        <f>"36412021123111343270323"</f>
        <v>36412021123111343270323</v>
      </c>
      <c r="C1833" s="5" t="s">
        <v>34</v>
      </c>
      <c r="D1833" s="5" t="str">
        <f>"黄倩"</f>
        <v>黄倩</v>
      </c>
      <c r="E1833" s="5" t="str">
        <f t="shared" si="190"/>
        <v>女</v>
      </c>
      <c r="F1833" s="5" t="str">
        <f t="shared" si="192"/>
        <v>汉族</v>
      </c>
    </row>
    <row r="1834" ht="30" customHeight="1" spans="1:6">
      <c r="A1834" s="5">
        <v>1832</v>
      </c>
      <c r="B1834" s="5" t="str">
        <f>"36412021123112433870496"</f>
        <v>36412021123112433870496</v>
      </c>
      <c r="C1834" s="5" t="s">
        <v>34</v>
      </c>
      <c r="D1834" s="5" t="str">
        <f>"姜姗姗"</f>
        <v>姜姗姗</v>
      </c>
      <c r="E1834" s="5" t="str">
        <f t="shared" si="190"/>
        <v>女</v>
      </c>
      <c r="F1834" s="5" t="str">
        <f t="shared" si="192"/>
        <v>汉族</v>
      </c>
    </row>
    <row r="1835" ht="30" customHeight="1" spans="1:6">
      <c r="A1835" s="5">
        <v>1833</v>
      </c>
      <c r="B1835" s="5" t="str">
        <f>"36412021123113081370554"</f>
        <v>36412021123113081370554</v>
      </c>
      <c r="C1835" s="5" t="s">
        <v>34</v>
      </c>
      <c r="D1835" s="5" t="str">
        <f>"邱金秀"</f>
        <v>邱金秀</v>
      </c>
      <c r="E1835" s="5" t="str">
        <f t="shared" si="190"/>
        <v>女</v>
      </c>
      <c r="F1835" s="5" t="str">
        <f t="shared" si="192"/>
        <v>汉族</v>
      </c>
    </row>
    <row r="1836" ht="30" customHeight="1" spans="1:6">
      <c r="A1836" s="5">
        <v>1834</v>
      </c>
      <c r="B1836" s="5" t="str">
        <f>"36412021123114110370684"</f>
        <v>36412021123114110370684</v>
      </c>
      <c r="C1836" s="5" t="s">
        <v>34</v>
      </c>
      <c r="D1836" s="5" t="str">
        <f>"李香琼"</f>
        <v>李香琼</v>
      </c>
      <c r="E1836" s="5" t="str">
        <f t="shared" si="190"/>
        <v>女</v>
      </c>
      <c r="F1836" s="5" t="str">
        <f t="shared" si="192"/>
        <v>汉族</v>
      </c>
    </row>
    <row r="1837" ht="30" customHeight="1" spans="1:6">
      <c r="A1837" s="5">
        <v>1835</v>
      </c>
      <c r="B1837" s="5" t="str">
        <f>"36412021123114573470815"</f>
        <v>36412021123114573470815</v>
      </c>
      <c r="C1837" s="5" t="s">
        <v>34</v>
      </c>
      <c r="D1837" s="5" t="str">
        <f>"杜微"</f>
        <v>杜微</v>
      </c>
      <c r="E1837" s="5" t="str">
        <f t="shared" si="190"/>
        <v>女</v>
      </c>
      <c r="F1837" s="5" t="str">
        <f t="shared" si="192"/>
        <v>汉族</v>
      </c>
    </row>
    <row r="1838" ht="30" customHeight="1" spans="1:6">
      <c r="A1838" s="5">
        <v>1836</v>
      </c>
      <c r="B1838" s="5" t="str">
        <f>"36412021123115261170889"</f>
        <v>36412021123115261170889</v>
      </c>
      <c r="C1838" s="5" t="s">
        <v>34</v>
      </c>
      <c r="D1838" s="5" t="str">
        <f>"钟小碧"</f>
        <v>钟小碧</v>
      </c>
      <c r="E1838" s="5" t="str">
        <f t="shared" si="190"/>
        <v>女</v>
      </c>
      <c r="F1838" s="5" t="str">
        <f t="shared" si="192"/>
        <v>汉族</v>
      </c>
    </row>
    <row r="1839" ht="30" customHeight="1" spans="1:6">
      <c r="A1839" s="5">
        <v>1837</v>
      </c>
      <c r="B1839" s="5" t="str">
        <f>"36412021123117055171106"</f>
        <v>36412021123117055171106</v>
      </c>
      <c r="C1839" s="5" t="s">
        <v>34</v>
      </c>
      <c r="D1839" s="5" t="str">
        <f>"王菊青"</f>
        <v>王菊青</v>
      </c>
      <c r="E1839" s="5" t="str">
        <f t="shared" si="190"/>
        <v>女</v>
      </c>
      <c r="F1839" s="5" t="str">
        <f t="shared" si="192"/>
        <v>汉族</v>
      </c>
    </row>
    <row r="1840" ht="30" customHeight="1" spans="1:6">
      <c r="A1840" s="5">
        <v>1838</v>
      </c>
      <c r="B1840" s="5" t="str">
        <f>"36412021123118472471203"</f>
        <v>36412021123118472471203</v>
      </c>
      <c r="C1840" s="5" t="s">
        <v>34</v>
      </c>
      <c r="D1840" s="5" t="str">
        <f>"陈少盈"</f>
        <v>陈少盈</v>
      </c>
      <c r="E1840" s="5" t="str">
        <f t="shared" si="190"/>
        <v>女</v>
      </c>
      <c r="F1840" s="5" t="str">
        <f t="shared" si="192"/>
        <v>汉族</v>
      </c>
    </row>
    <row r="1841" ht="30" customHeight="1" spans="1:6">
      <c r="A1841" s="5">
        <v>1839</v>
      </c>
      <c r="B1841" s="5" t="str">
        <f>"36412021123118564771209"</f>
        <v>36412021123118564771209</v>
      </c>
      <c r="C1841" s="5" t="s">
        <v>34</v>
      </c>
      <c r="D1841" s="5" t="str">
        <f>"卓德函"</f>
        <v>卓德函</v>
      </c>
      <c r="E1841" s="5" t="str">
        <f>"男"</f>
        <v>男</v>
      </c>
      <c r="F1841" s="5" t="str">
        <f>"黎族"</f>
        <v>黎族</v>
      </c>
    </row>
    <row r="1842" ht="30" customHeight="1" spans="1:6">
      <c r="A1842" s="5">
        <v>1840</v>
      </c>
      <c r="B1842" s="5" t="str">
        <f>"36412021123119122071218"</f>
        <v>36412021123119122071218</v>
      </c>
      <c r="C1842" s="5" t="s">
        <v>34</v>
      </c>
      <c r="D1842" s="5" t="str">
        <f>"王琼雪"</f>
        <v>王琼雪</v>
      </c>
      <c r="E1842" s="5" t="str">
        <f t="shared" ref="E1842:E1865" si="193">"女"</f>
        <v>女</v>
      </c>
      <c r="F1842" s="5" t="str">
        <f t="shared" ref="F1842:F1856" si="194">"汉族"</f>
        <v>汉族</v>
      </c>
    </row>
    <row r="1843" ht="30" customHeight="1" spans="1:6">
      <c r="A1843" s="5">
        <v>1841</v>
      </c>
      <c r="B1843" s="5" t="str">
        <f>"36412021123120173971272"</f>
        <v>36412021123120173971272</v>
      </c>
      <c r="C1843" s="5" t="s">
        <v>34</v>
      </c>
      <c r="D1843" s="5" t="str">
        <f>"吴高敏"</f>
        <v>吴高敏</v>
      </c>
      <c r="E1843" s="5" t="str">
        <f t="shared" si="193"/>
        <v>女</v>
      </c>
      <c r="F1843" s="5" t="str">
        <f t="shared" si="194"/>
        <v>汉族</v>
      </c>
    </row>
    <row r="1844" ht="30" customHeight="1" spans="1:6">
      <c r="A1844" s="5">
        <v>1842</v>
      </c>
      <c r="B1844" s="5" t="str">
        <f>"36412022010108353871445"</f>
        <v>36412022010108353871445</v>
      </c>
      <c r="C1844" s="5" t="s">
        <v>34</v>
      </c>
      <c r="D1844" s="5" t="str">
        <f>"黎维丹"</f>
        <v>黎维丹</v>
      </c>
      <c r="E1844" s="5" t="str">
        <f t="shared" si="193"/>
        <v>女</v>
      </c>
      <c r="F1844" s="5" t="str">
        <f t="shared" si="194"/>
        <v>汉族</v>
      </c>
    </row>
    <row r="1845" ht="30" customHeight="1" spans="1:6">
      <c r="A1845" s="5">
        <v>1843</v>
      </c>
      <c r="B1845" s="5" t="str">
        <f>"36412022010108482571451"</f>
        <v>36412022010108482571451</v>
      </c>
      <c r="C1845" s="5" t="s">
        <v>34</v>
      </c>
      <c r="D1845" s="5" t="str">
        <f>"蔡佳秀"</f>
        <v>蔡佳秀</v>
      </c>
      <c r="E1845" s="5" t="str">
        <f t="shared" si="193"/>
        <v>女</v>
      </c>
      <c r="F1845" s="5" t="str">
        <f t="shared" si="194"/>
        <v>汉族</v>
      </c>
    </row>
    <row r="1846" ht="30" customHeight="1" spans="1:6">
      <c r="A1846" s="5">
        <v>1844</v>
      </c>
      <c r="B1846" s="5" t="str">
        <f>"36412022010109464371514"</f>
        <v>36412022010109464371514</v>
      </c>
      <c r="C1846" s="5" t="s">
        <v>34</v>
      </c>
      <c r="D1846" s="5" t="str">
        <f>"郑以珍"</f>
        <v>郑以珍</v>
      </c>
      <c r="E1846" s="5" t="str">
        <f t="shared" si="193"/>
        <v>女</v>
      </c>
      <c r="F1846" s="5" t="str">
        <f t="shared" si="194"/>
        <v>汉族</v>
      </c>
    </row>
    <row r="1847" ht="30" customHeight="1" spans="1:6">
      <c r="A1847" s="5">
        <v>1845</v>
      </c>
      <c r="B1847" s="5" t="str">
        <f>"36412022010110315371566"</f>
        <v>36412022010110315371566</v>
      </c>
      <c r="C1847" s="5" t="s">
        <v>34</v>
      </c>
      <c r="D1847" s="5" t="str">
        <f>"潘婉怡"</f>
        <v>潘婉怡</v>
      </c>
      <c r="E1847" s="5" t="str">
        <f t="shared" si="193"/>
        <v>女</v>
      </c>
      <c r="F1847" s="5" t="str">
        <f t="shared" si="194"/>
        <v>汉族</v>
      </c>
    </row>
    <row r="1848" ht="30" customHeight="1" spans="1:6">
      <c r="A1848" s="5">
        <v>1846</v>
      </c>
      <c r="B1848" s="5" t="str">
        <f>"36412022010114322471859"</f>
        <v>36412022010114322471859</v>
      </c>
      <c r="C1848" s="5" t="s">
        <v>34</v>
      </c>
      <c r="D1848" s="5" t="str">
        <f>"李莎"</f>
        <v>李莎</v>
      </c>
      <c r="E1848" s="5" t="str">
        <f t="shared" si="193"/>
        <v>女</v>
      </c>
      <c r="F1848" s="5" t="str">
        <f t="shared" si="194"/>
        <v>汉族</v>
      </c>
    </row>
    <row r="1849" ht="30" customHeight="1" spans="1:6">
      <c r="A1849" s="5">
        <v>1847</v>
      </c>
      <c r="B1849" s="5" t="str">
        <f>"36412022010115003871883"</f>
        <v>36412022010115003871883</v>
      </c>
      <c r="C1849" s="5" t="s">
        <v>34</v>
      </c>
      <c r="D1849" s="5" t="str">
        <f>"王树珍"</f>
        <v>王树珍</v>
      </c>
      <c r="E1849" s="5" t="str">
        <f t="shared" si="193"/>
        <v>女</v>
      </c>
      <c r="F1849" s="5" t="str">
        <f t="shared" si="194"/>
        <v>汉族</v>
      </c>
    </row>
    <row r="1850" ht="30" customHeight="1" spans="1:6">
      <c r="A1850" s="5">
        <v>1848</v>
      </c>
      <c r="B1850" s="5" t="str">
        <f>"36412022010116130971959"</f>
        <v>36412022010116130971959</v>
      </c>
      <c r="C1850" s="5" t="s">
        <v>34</v>
      </c>
      <c r="D1850" s="5" t="str">
        <f>"羊秀庆"</f>
        <v>羊秀庆</v>
      </c>
      <c r="E1850" s="5" t="str">
        <f t="shared" si="193"/>
        <v>女</v>
      </c>
      <c r="F1850" s="5" t="str">
        <f t="shared" si="194"/>
        <v>汉族</v>
      </c>
    </row>
    <row r="1851" ht="30" customHeight="1" spans="1:6">
      <c r="A1851" s="5">
        <v>1849</v>
      </c>
      <c r="B1851" s="5" t="str">
        <f>"36412022010117324372032"</f>
        <v>36412022010117324372032</v>
      </c>
      <c r="C1851" s="5" t="s">
        <v>34</v>
      </c>
      <c r="D1851" s="5" t="str">
        <f>"王明婷"</f>
        <v>王明婷</v>
      </c>
      <c r="E1851" s="5" t="str">
        <f t="shared" si="193"/>
        <v>女</v>
      </c>
      <c r="F1851" s="5" t="str">
        <f t="shared" si="194"/>
        <v>汉族</v>
      </c>
    </row>
    <row r="1852" ht="30" customHeight="1" spans="1:6">
      <c r="A1852" s="5">
        <v>1850</v>
      </c>
      <c r="B1852" s="5" t="str">
        <f>"36412022010119500972145"</f>
        <v>36412022010119500972145</v>
      </c>
      <c r="C1852" s="5" t="s">
        <v>34</v>
      </c>
      <c r="D1852" s="5" t="str">
        <f>"文欣"</f>
        <v>文欣</v>
      </c>
      <c r="E1852" s="5" t="str">
        <f t="shared" si="193"/>
        <v>女</v>
      </c>
      <c r="F1852" s="5" t="str">
        <f t="shared" si="194"/>
        <v>汉族</v>
      </c>
    </row>
    <row r="1853" ht="30" customHeight="1" spans="1:6">
      <c r="A1853" s="5">
        <v>1851</v>
      </c>
      <c r="B1853" s="5" t="str">
        <f>"36412022010121364772262"</f>
        <v>36412022010121364772262</v>
      </c>
      <c r="C1853" s="5" t="s">
        <v>34</v>
      </c>
      <c r="D1853" s="5" t="str">
        <f>"何晖"</f>
        <v>何晖</v>
      </c>
      <c r="E1853" s="5" t="str">
        <f t="shared" si="193"/>
        <v>女</v>
      </c>
      <c r="F1853" s="5" t="str">
        <f t="shared" si="194"/>
        <v>汉族</v>
      </c>
    </row>
    <row r="1854" ht="30" customHeight="1" spans="1:6">
      <c r="A1854" s="5">
        <v>1852</v>
      </c>
      <c r="B1854" s="5" t="str">
        <f>"36412022010210002272503"</f>
        <v>36412022010210002272503</v>
      </c>
      <c r="C1854" s="5" t="s">
        <v>34</v>
      </c>
      <c r="D1854" s="5" t="str">
        <f>"王琦璐"</f>
        <v>王琦璐</v>
      </c>
      <c r="E1854" s="5" t="str">
        <f t="shared" si="193"/>
        <v>女</v>
      </c>
      <c r="F1854" s="5" t="str">
        <f t="shared" si="194"/>
        <v>汉族</v>
      </c>
    </row>
    <row r="1855" ht="30" customHeight="1" spans="1:6">
      <c r="A1855" s="5">
        <v>1853</v>
      </c>
      <c r="B1855" s="5" t="str">
        <f>"36412022010210010872505"</f>
        <v>36412022010210010872505</v>
      </c>
      <c r="C1855" s="5" t="s">
        <v>34</v>
      </c>
      <c r="D1855" s="5" t="str">
        <f>"赵杨倩"</f>
        <v>赵杨倩</v>
      </c>
      <c r="E1855" s="5" t="str">
        <f t="shared" si="193"/>
        <v>女</v>
      </c>
      <c r="F1855" s="5" t="str">
        <f t="shared" si="194"/>
        <v>汉族</v>
      </c>
    </row>
    <row r="1856" ht="30" customHeight="1" spans="1:6">
      <c r="A1856" s="5">
        <v>1854</v>
      </c>
      <c r="B1856" s="5" t="str">
        <f>"36412022010211263672629"</f>
        <v>36412022010211263672629</v>
      </c>
      <c r="C1856" s="5" t="s">
        <v>34</v>
      </c>
      <c r="D1856" s="5" t="str">
        <f>"邢晖"</f>
        <v>邢晖</v>
      </c>
      <c r="E1856" s="5" t="str">
        <f t="shared" si="193"/>
        <v>女</v>
      </c>
      <c r="F1856" s="5" t="str">
        <f t="shared" si="194"/>
        <v>汉族</v>
      </c>
    </row>
    <row r="1857" ht="30" customHeight="1" spans="1:6">
      <c r="A1857" s="5">
        <v>1855</v>
      </c>
      <c r="B1857" s="5" t="str">
        <f>"36412022010212123272696"</f>
        <v>36412022010212123272696</v>
      </c>
      <c r="C1857" s="5" t="s">
        <v>34</v>
      </c>
      <c r="D1857" s="5" t="str">
        <f>"梁红"</f>
        <v>梁红</v>
      </c>
      <c r="E1857" s="5" t="str">
        <f t="shared" si="193"/>
        <v>女</v>
      </c>
      <c r="F1857" s="5" t="str">
        <f>"苗族"</f>
        <v>苗族</v>
      </c>
    </row>
    <row r="1858" ht="30" customHeight="1" spans="1:6">
      <c r="A1858" s="5">
        <v>1856</v>
      </c>
      <c r="B1858" s="5" t="str">
        <f>"36412022010212184572702"</f>
        <v>36412022010212184572702</v>
      </c>
      <c r="C1858" s="5" t="s">
        <v>34</v>
      </c>
      <c r="D1858" s="5" t="str">
        <f>"陈明"</f>
        <v>陈明</v>
      </c>
      <c r="E1858" s="5" t="str">
        <f t="shared" si="193"/>
        <v>女</v>
      </c>
      <c r="F1858" s="5" t="str">
        <f>"汉族"</f>
        <v>汉族</v>
      </c>
    </row>
    <row r="1859" ht="30" customHeight="1" spans="1:6">
      <c r="A1859" s="5">
        <v>1857</v>
      </c>
      <c r="B1859" s="5" t="str">
        <f>"36412022010213150772773"</f>
        <v>36412022010213150772773</v>
      </c>
      <c r="C1859" s="5" t="s">
        <v>34</v>
      </c>
      <c r="D1859" s="5" t="str">
        <f>"王明惠"</f>
        <v>王明惠</v>
      </c>
      <c r="E1859" s="5" t="str">
        <f t="shared" si="193"/>
        <v>女</v>
      </c>
      <c r="F1859" s="5" t="str">
        <f>"汉族"</f>
        <v>汉族</v>
      </c>
    </row>
    <row r="1860" ht="30" customHeight="1" spans="1:6">
      <c r="A1860" s="5">
        <v>1858</v>
      </c>
      <c r="B1860" s="5" t="str">
        <f>"36412022010215105572909"</f>
        <v>36412022010215105572909</v>
      </c>
      <c r="C1860" s="5" t="s">
        <v>34</v>
      </c>
      <c r="D1860" s="5" t="str">
        <f>"陈艳梅"</f>
        <v>陈艳梅</v>
      </c>
      <c r="E1860" s="5" t="str">
        <f t="shared" si="193"/>
        <v>女</v>
      </c>
      <c r="F1860" s="5" t="str">
        <f>"土家族"</f>
        <v>土家族</v>
      </c>
    </row>
    <row r="1861" ht="30" customHeight="1" spans="1:6">
      <c r="A1861" s="5">
        <v>1859</v>
      </c>
      <c r="B1861" s="5" t="str">
        <f>"36412022010219074773153"</f>
        <v>36412022010219074773153</v>
      </c>
      <c r="C1861" s="5" t="s">
        <v>34</v>
      </c>
      <c r="D1861" s="5" t="str">
        <f>"王海瑶"</f>
        <v>王海瑶</v>
      </c>
      <c r="E1861" s="5" t="str">
        <f t="shared" si="193"/>
        <v>女</v>
      </c>
      <c r="F1861" s="5" t="str">
        <f t="shared" ref="F1861:F1884" si="195">"汉族"</f>
        <v>汉族</v>
      </c>
    </row>
    <row r="1862" ht="30" customHeight="1" spans="1:6">
      <c r="A1862" s="5">
        <v>1860</v>
      </c>
      <c r="B1862" s="5" t="str">
        <f>"36412022010219594873218"</f>
        <v>36412022010219594873218</v>
      </c>
      <c r="C1862" s="5" t="s">
        <v>34</v>
      </c>
      <c r="D1862" s="5" t="str">
        <f>"吴娜二"</f>
        <v>吴娜二</v>
      </c>
      <c r="E1862" s="5" t="str">
        <f t="shared" si="193"/>
        <v>女</v>
      </c>
      <c r="F1862" s="5" t="str">
        <f t="shared" si="195"/>
        <v>汉族</v>
      </c>
    </row>
    <row r="1863" ht="30" customHeight="1" spans="1:6">
      <c r="A1863" s="5">
        <v>1861</v>
      </c>
      <c r="B1863" s="5" t="str">
        <f>"36412022010221194573302"</f>
        <v>36412022010221194573302</v>
      </c>
      <c r="C1863" s="5" t="s">
        <v>34</v>
      </c>
      <c r="D1863" s="5" t="str">
        <f>"戴王薇"</f>
        <v>戴王薇</v>
      </c>
      <c r="E1863" s="5" t="str">
        <f t="shared" si="193"/>
        <v>女</v>
      </c>
      <c r="F1863" s="5" t="str">
        <f t="shared" si="195"/>
        <v>汉族</v>
      </c>
    </row>
    <row r="1864" ht="30" customHeight="1" spans="1:6">
      <c r="A1864" s="5">
        <v>1862</v>
      </c>
      <c r="B1864" s="5" t="str">
        <f>"36412022010221262273310"</f>
        <v>36412022010221262273310</v>
      </c>
      <c r="C1864" s="5" t="s">
        <v>34</v>
      </c>
      <c r="D1864" s="5" t="str">
        <f>"梁其益"</f>
        <v>梁其益</v>
      </c>
      <c r="E1864" s="5" t="str">
        <f t="shared" si="193"/>
        <v>女</v>
      </c>
      <c r="F1864" s="5" t="str">
        <f t="shared" si="195"/>
        <v>汉族</v>
      </c>
    </row>
    <row r="1865" ht="30" customHeight="1" spans="1:6">
      <c r="A1865" s="5">
        <v>1863</v>
      </c>
      <c r="B1865" s="5" t="str">
        <f>"36412022010221511673346"</f>
        <v>36412022010221511673346</v>
      </c>
      <c r="C1865" s="5" t="s">
        <v>34</v>
      </c>
      <c r="D1865" s="5" t="str">
        <f>"黄凤"</f>
        <v>黄凤</v>
      </c>
      <c r="E1865" s="5" t="str">
        <f t="shared" si="193"/>
        <v>女</v>
      </c>
      <c r="F1865" s="5" t="str">
        <f t="shared" si="195"/>
        <v>汉族</v>
      </c>
    </row>
    <row r="1866" ht="30" customHeight="1" spans="1:6">
      <c r="A1866" s="5">
        <v>1864</v>
      </c>
      <c r="B1866" s="5" t="str">
        <f>"36412022010222001673357"</f>
        <v>36412022010222001673357</v>
      </c>
      <c r="C1866" s="5" t="s">
        <v>34</v>
      </c>
      <c r="D1866" s="5" t="str">
        <f>"吴钦"</f>
        <v>吴钦</v>
      </c>
      <c r="E1866" s="5" t="str">
        <f>"男"</f>
        <v>男</v>
      </c>
      <c r="F1866" s="5" t="str">
        <f t="shared" si="195"/>
        <v>汉族</v>
      </c>
    </row>
    <row r="1867" ht="30" customHeight="1" spans="1:6">
      <c r="A1867" s="5">
        <v>1865</v>
      </c>
      <c r="B1867" s="5" t="str">
        <f>"36412022010306082373473"</f>
        <v>36412022010306082373473</v>
      </c>
      <c r="C1867" s="5" t="s">
        <v>34</v>
      </c>
      <c r="D1867" s="5" t="str">
        <f>"韩海霞"</f>
        <v>韩海霞</v>
      </c>
      <c r="E1867" s="5" t="str">
        <f t="shared" ref="E1867:E1930" si="196">"女"</f>
        <v>女</v>
      </c>
      <c r="F1867" s="5" t="str">
        <f t="shared" si="195"/>
        <v>汉族</v>
      </c>
    </row>
    <row r="1868" ht="30" customHeight="1" spans="1:6">
      <c r="A1868" s="5">
        <v>1866</v>
      </c>
      <c r="B1868" s="5" t="str">
        <f>"36412022010311182974366"</f>
        <v>36412022010311182974366</v>
      </c>
      <c r="C1868" s="5" t="s">
        <v>34</v>
      </c>
      <c r="D1868" s="5" t="str">
        <f>"陈丽"</f>
        <v>陈丽</v>
      </c>
      <c r="E1868" s="5" t="str">
        <f t="shared" si="196"/>
        <v>女</v>
      </c>
      <c r="F1868" s="5" t="str">
        <f t="shared" si="195"/>
        <v>汉族</v>
      </c>
    </row>
    <row r="1869" ht="30" customHeight="1" spans="1:6">
      <c r="A1869" s="5">
        <v>1867</v>
      </c>
      <c r="B1869" s="5" t="str">
        <f>"36412022010311283674424"</f>
        <v>36412022010311283674424</v>
      </c>
      <c r="C1869" s="5" t="s">
        <v>34</v>
      </c>
      <c r="D1869" s="5" t="str">
        <f>"谭慧"</f>
        <v>谭慧</v>
      </c>
      <c r="E1869" s="5" t="str">
        <f t="shared" si="196"/>
        <v>女</v>
      </c>
      <c r="F1869" s="5" t="str">
        <f t="shared" si="195"/>
        <v>汉族</v>
      </c>
    </row>
    <row r="1870" ht="30" customHeight="1" spans="1:6">
      <c r="A1870" s="5">
        <v>1868</v>
      </c>
      <c r="B1870" s="5" t="str">
        <f>"36412022010314584475299"</f>
        <v>36412022010314584475299</v>
      </c>
      <c r="C1870" s="5" t="s">
        <v>34</v>
      </c>
      <c r="D1870" s="5" t="str">
        <f>"钟梅"</f>
        <v>钟梅</v>
      </c>
      <c r="E1870" s="5" t="str">
        <f t="shared" si="196"/>
        <v>女</v>
      </c>
      <c r="F1870" s="5" t="str">
        <f t="shared" si="195"/>
        <v>汉族</v>
      </c>
    </row>
    <row r="1871" ht="30" customHeight="1" spans="1:6">
      <c r="A1871" s="5">
        <v>1869</v>
      </c>
      <c r="B1871" s="5" t="str">
        <f>"36412022010317031675745"</f>
        <v>36412022010317031675745</v>
      </c>
      <c r="C1871" s="5" t="s">
        <v>34</v>
      </c>
      <c r="D1871" s="5" t="str">
        <f>"陈俊璇"</f>
        <v>陈俊璇</v>
      </c>
      <c r="E1871" s="5" t="str">
        <f t="shared" si="196"/>
        <v>女</v>
      </c>
      <c r="F1871" s="5" t="str">
        <f t="shared" si="195"/>
        <v>汉族</v>
      </c>
    </row>
    <row r="1872" ht="30" customHeight="1" spans="1:6">
      <c r="A1872" s="5">
        <v>1870</v>
      </c>
      <c r="B1872" s="5" t="str">
        <f>"36412022010317174875791"</f>
        <v>36412022010317174875791</v>
      </c>
      <c r="C1872" s="5" t="s">
        <v>34</v>
      </c>
      <c r="D1872" s="5" t="str">
        <f>"陈丽云"</f>
        <v>陈丽云</v>
      </c>
      <c r="E1872" s="5" t="str">
        <f t="shared" si="196"/>
        <v>女</v>
      </c>
      <c r="F1872" s="5" t="str">
        <f t="shared" si="195"/>
        <v>汉族</v>
      </c>
    </row>
    <row r="1873" ht="30" customHeight="1" spans="1:6">
      <c r="A1873" s="5">
        <v>1871</v>
      </c>
      <c r="B1873" s="5" t="str">
        <f>"36412022010318005775925"</f>
        <v>36412022010318005775925</v>
      </c>
      <c r="C1873" s="5" t="s">
        <v>34</v>
      </c>
      <c r="D1873" s="5" t="str">
        <f>"文丽"</f>
        <v>文丽</v>
      </c>
      <c r="E1873" s="5" t="str">
        <f t="shared" si="196"/>
        <v>女</v>
      </c>
      <c r="F1873" s="5" t="str">
        <f t="shared" si="195"/>
        <v>汉族</v>
      </c>
    </row>
    <row r="1874" ht="30" customHeight="1" spans="1:6">
      <c r="A1874" s="5">
        <v>1872</v>
      </c>
      <c r="B1874" s="5" t="str">
        <f>"36412022010321143976541"</f>
        <v>36412022010321143976541</v>
      </c>
      <c r="C1874" s="5" t="s">
        <v>34</v>
      </c>
      <c r="D1874" s="5" t="str">
        <f>"任超"</f>
        <v>任超</v>
      </c>
      <c r="E1874" s="5" t="str">
        <f t="shared" si="196"/>
        <v>女</v>
      </c>
      <c r="F1874" s="5" t="str">
        <f t="shared" si="195"/>
        <v>汉族</v>
      </c>
    </row>
    <row r="1875" ht="30" customHeight="1" spans="1:6">
      <c r="A1875" s="5">
        <v>1873</v>
      </c>
      <c r="B1875" s="5" t="str">
        <f>"36412022010321380876617"</f>
        <v>36412022010321380876617</v>
      </c>
      <c r="C1875" s="5" t="s">
        <v>34</v>
      </c>
      <c r="D1875" s="5" t="str">
        <f>"徐志萍"</f>
        <v>徐志萍</v>
      </c>
      <c r="E1875" s="5" t="str">
        <f t="shared" si="196"/>
        <v>女</v>
      </c>
      <c r="F1875" s="5" t="str">
        <f t="shared" si="195"/>
        <v>汉族</v>
      </c>
    </row>
    <row r="1876" ht="30" customHeight="1" spans="1:6">
      <c r="A1876" s="5">
        <v>1874</v>
      </c>
      <c r="B1876" s="5" t="str">
        <f>"36412022010321465976643"</f>
        <v>36412022010321465976643</v>
      </c>
      <c r="C1876" s="5" t="s">
        <v>34</v>
      </c>
      <c r="D1876" s="5" t="str">
        <f>"陈妮"</f>
        <v>陈妮</v>
      </c>
      <c r="E1876" s="5" t="str">
        <f t="shared" si="196"/>
        <v>女</v>
      </c>
      <c r="F1876" s="5" t="str">
        <f t="shared" si="195"/>
        <v>汉族</v>
      </c>
    </row>
    <row r="1877" ht="30" customHeight="1" spans="1:6">
      <c r="A1877" s="5">
        <v>1875</v>
      </c>
      <c r="B1877" s="5" t="str">
        <f>"36412022010408005777085"</f>
        <v>36412022010408005777085</v>
      </c>
      <c r="C1877" s="5" t="s">
        <v>34</v>
      </c>
      <c r="D1877" s="5" t="str">
        <f>"麦少缘"</f>
        <v>麦少缘</v>
      </c>
      <c r="E1877" s="5" t="str">
        <f t="shared" si="196"/>
        <v>女</v>
      </c>
      <c r="F1877" s="5" t="str">
        <f t="shared" si="195"/>
        <v>汉族</v>
      </c>
    </row>
    <row r="1878" ht="30" customHeight="1" spans="1:6">
      <c r="A1878" s="5">
        <v>1876</v>
      </c>
      <c r="B1878" s="5" t="str">
        <f>"36412022010408502177316"</f>
        <v>36412022010408502177316</v>
      </c>
      <c r="C1878" s="5" t="s">
        <v>34</v>
      </c>
      <c r="D1878" s="5" t="str">
        <f>"王玲"</f>
        <v>王玲</v>
      </c>
      <c r="E1878" s="5" t="str">
        <f t="shared" si="196"/>
        <v>女</v>
      </c>
      <c r="F1878" s="5" t="str">
        <f t="shared" si="195"/>
        <v>汉族</v>
      </c>
    </row>
    <row r="1879" ht="30" customHeight="1" spans="1:6">
      <c r="A1879" s="5">
        <v>1877</v>
      </c>
      <c r="B1879" s="5" t="str">
        <f>"36412022010409005777386"</f>
        <v>36412022010409005777386</v>
      </c>
      <c r="C1879" s="5" t="s">
        <v>34</v>
      </c>
      <c r="D1879" s="5" t="str">
        <f>"黄燕"</f>
        <v>黄燕</v>
      </c>
      <c r="E1879" s="5" t="str">
        <f t="shared" si="196"/>
        <v>女</v>
      </c>
      <c r="F1879" s="5" t="str">
        <f t="shared" si="195"/>
        <v>汉族</v>
      </c>
    </row>
    <row r="1880" ht="30" customHeight="1" spans="1:6">
      <c r="A1880" s="5">
        <v>1878</v>
      </c>
      <c r="B1880" s="5" t="str">
        <f>"36412022010409253377608"</f>
        <v>36412022010409253377608</v>
      </c>
      <c r="C1880" s="5" t="s">
        <v>34</v>
      </c>
      <c r="D1880" s="5" t="str">
        <f>"黎吉逢"</f>
        <v>黎吉逢</v>
      </c>
      <c r="E1880" s="5" t="str">
        <f t="shared" si="196"/>
        <v>女</v>
      </c>
      <c r="F1880" s="5" t="str">
        <f t="shared" si="195"/>
        <v>汉族</v>
      </c>
    </row>
    <row r="1881" ht="30" customHeight="1" spans="1:6">
      <c r="A1881" s="5">
        <v>1879</v>
      </c>
      <c r="B1881" s="5" t="str">
        <f>"36412022010409262377614"</f>
        <v>36412022010409262377614</v>
      </c>
      <c r="C1881" s="5" t="s">
        <v>34</v>
      </c>
      <c r="D1881" s="5" t="str">
        <f>"陈万活"</f>
        <v>陈万活</v>
      </c>
      <c r="E1881" s="5" t="str">
        <f t="shared" si="196"/>
        <v>女</v>
      </c>
      <c r="F1881" s="5" t="str">
        <f t="shared" si="195"/>
        <v>汉族</v>
      </c>
    </row>
    <row r="1882" ht="30" customHeight="1" spans="1:6">
      <c r="A1882" s="5">
        <v>1880</v>
      </c>
      <c r="B1882" s="5" t="str">
        <f>"36412022010409365877694"</f>
        <v>36412022010409365877694</v>
      </c>
      <c r="C1882" s="5" t="s">
        <v>34</v>
      </c>
      <c r="D1882" s="5" t="str">
        <f>"黄海锐"</f>
        <v>黄海锐</v>
      </c>
      <c r="E1882" s="5" t="str">
        <f t="shared" si="196"/>
        <v>女</v>
      </c>
      <c r="F1882" s="5" t="str">
        <f t="shared" si="195"/>
        <v>汉族</v>
      </c>
    </row>
    <row r="1883" ht="30" customHeight="1" spans="1:6">
      <c r="A1883" s="5">
        <v>1881</v>
      </c>
      <c r="B1883" s="5" t="str">
        <f>"36412022010410081877983"</f>
        <v>36412022010410081877983</v>
      </c>
      <c r="C1883" s="5" t="s">
        <v>34</v>
      </c>
      <c r="D1883" s="5" t="str">
        <f>"文海凤"</f>
        <v>文海凤</v>
      </c>
      <c r="E1883" s="5" t="str">
        <f t="shared" si="196"/>
        <v>女</v>
      </c>
      <c r="F1883" s="5" t="str">
        <f t="shared" si="195"/>
        <v>汉族</v>
      </c>
    </row>
    <row r="1884" ht="30" customHeight="1" spans="1:6">
      <c r="A1884" s="5">
        <v>1882</v>
      </c>
      <c r="B1884" s="5" t="str">
        <f>"36412022010411194778609"</f>
        <v>36412022010411194778609</v>
      </c>
      <c r="C1884" s="5" t="s">
        <v>34</v>
      </c>
      <c r="D1884" s="5" t="str">
        <f>"孙子雯"</f>
        <v>孙子雯</v>
      </c>
      <c r="E1884" s="5" t="str">
        <f t="shared" si="196"/>
        <v>女</v>
      </c>
      <c r="F1884" s="5" t="str">
        <f t="shared" si="195"/>
        <v>汉族</v>
      </c>
    </row>
    <row r="1885" ht="30" customHeight="1" spans="1:6">
      <c r="A1885" s="5">
        <v>1883</v>
      </c>
      <c r="B1885" s="5" t="str">
        <f>"36412022010411320378713"</f>
        <v>36412022010411320378713</v>
      </c>
      <c r="C1885" s="5" t="s">
        <v>34</v>
      </c>
      <c r="D1885" s="5" t="str">
        <f>"马朝阳"</f>
        <v>马朝阳</v>
      </c>
      <c r="E1885" s="5" t="str">
        <f t="shared" si="196"/>
        <v>女</v>
      </c>
      <c r="F1885" s="5" t="str">
        <f>"回族"</f>
        <v>回族</v>
      </c>
    </row>
    <row r="1886" ht="30" customHeight="1" spans="1:6">
      <c r="A1886" s="5">
        <v>1884</v>
      </c>
      <c r="B1886" s="5" t="str">
        <f>"36412022010412174878965"</f>
        <v>36412022010412174878965</v>
      </c>
      <c r="C1886" s="5" t="s">
        <v>34</v>
      </c>
      <c r="D1886" s="5" t="str">
        <f>"林鲜"</f>
        <v>林鲜</v>
      </c>
      <c r="E1886" s="5" t="str">
        <f t="shared" si="196"/>
        <v>女</v>
      </c>
      <c r="F1886" s="5" t="str">
        <f t="shared" ref="F1886:F1907" si="197">"汉族"</f>
        <v>汉族</v>
      </c>
    </row>
    <row r="1887" ht="30" customHeight="1" spans="1:6">
      <c r="A1887" s="5">
        <v>1885</v>
      </c>
      <c r="B1887" s="5" t="str">
        <f>"36412022010412225778989"</f>
        <v>36412022010412225778989</v>
      </c>
      <c r="C1887" s="5" t="s">
        <v>34</v>
      </c>
      <c r="D1887" s="5" t="str">
        <f>"曾载益"</f>
        <v>曾载益</v>
      </c>
      <c r="E1887" s="5" t="str">
        <f t="shared" si="196"/>
        <v>女</v>
      </c>
      <c r="F1887" s="5" t="str">
        <f t="shared" si="197"/>
        <v>汉族</v>
      </c>
    </row>
    <row r="1888" ht="30" customHeight="1" spans="1:6">
      <c r="A1888" s="5">
        <v>1886</v>
      </c>
      <c r="B1888" s="5" t="str">
        <f>"36412022010412495779117"</f>
        <v>36412022010412495779117</v>
      </c>
      <c r="C1888" s="5" t="s">
        <v>34</v>
      </c>
      <c r="D1888" s="5" t="str">
        <f>"李秋"</f>
        <v>李秋</v>
      </c>
      <c r="E1888" s="5" t="str">
        <f t="shared" si="196"/>
        <v>女</v>
      </c>
      <c r="F1888" s="5" t="str">
        <f t="shared" si="197"/>
        <v>汉族</v>
      </c>
    </row>
    <row r="1889" ht="30" customHeight="1" spans="1:6">
      <c r="A1889" s="5">
        <v>1887</v>
      </c>
      <c r="B1889" s="5" t="str">
        <f>"36412022010414145979467"</f>
        <v>36412022010414145979467</v>
      </c>
      <c r="C1889" s="5" t="s">
        <v>34</v>
      </c>
      <c r="D1889" s="5" t="str">
        <f>"梁英南"</f>
        <v>梁英南</v>
      </c>
      <c r="E1889" s="5" t="str">
        <f t="shared" si="196"/>
        <v>女</v>
      </c>
      <c r="F1889" s="5" t="str">
        <f t="shared" si="197"/>
        <v>汉族</v>
      </c>
    </row>
    <row r="1890" ht="30" customHeight="1" spans="1:6">
      <c r="A1890" s="5">
        <v>1888</v>
      </c>
      <c r="B1890" s="5" t="str">
        <f>"36412022010414502879631"</f>
        <v>36412022010414502879631</v>
      </c>
      <c r="C1890" s="5" t="s">
        <v>34</v>
      </c>
      <c r="D1890" s="5" t="str">
        <f>"王隆丽"</f>
        <v>王隆丽</v>
      </c>
      <c r="E1890" s="5" t="str">
        <f t="shared" si="196"/>
        <v>女</v>
      </c>
      <c r="F1890" s="5" t="str">
        <f t="shared" si="197"/>
        <v>汉族</v>
      </c>
    </row>
    <row r="1891" ht="30" customHeight="1" spans="1:6">
      <c r="A1891" s="5">
        <v>1889</v>
      </c>
      <c r="B1891" s="5" t="str">
        <f>"36412022010415242279857"</f>
        <v>36412022010415242279857</v>
      </c>
      <c r="C1891" s="5" t="s">
        <v>34</v>
      </c>
      <c r="D1891" s="5" t="str">
        <f>"王妍"</f>
        <v>王妍</v>
      </c>
      <c r="E1891" s="5" t="str">
        <f t="shared" si="196"/>
        <v>女</v>
      </c>
      <c r="F1891" s="5" t="str">
        <f t="shared" si="197"/>
        <v>汉族</v>
      </c>
    </row>
    <row r="1892" ht="30" customHeight="1" spans="1:6">
      <c r="A1892" s="5">
        <v>1890</v>
      </c>
      <c r="B1892" s="5" t="str">
        <f>"36412022010415274679875"</f>
        <v>36412022010415274679875</v>
      </c>
      <c r="C1892" s="5" t="s">
        <v>34</v>
      </c>
      <c r="D1892" s="5" t="str">
        <f>"马小燕"</f>
        <v>马小燕</v>
      </c>
      <c r="E1892" s="5" t="str">
        <f t="shared" si="196"/>
        <v>女</v>
      </c>
      <c r="F1892" s="5" t="str">
        <f t="shared" si="197"/>
        <v>汉族</v>
      </c>
    </row>
    <row r="1893" ht="30" customHeight="1" spans="1:6">
      <c r="A1893" s="5">
        <v>1891</v>
      </c>
      <c r="B1893" s="5" t="str">
        <f>"36412022010415311179894"</f>
        <v>36412022010415311179894</v>
      </c>
      <c r="C1893" s="5" t="s">
        <v>34</v>
      </c>
      <c r="D1893" s="5" t="str">
        <f>"刘裕花"</f>
        <v>刘裕花</v>
      </c>
      <c r="E1893" s="5" t="str">
        <f t="shared" si="196"/>
        <v>女</v>
      </c>
      <c r="F1893" s="5" t="str">
        <f t="shared" si="197"/>
        <v>汉族</v>
      </c>
    </row>
    <row r="1894" ht="30" customHeight="1" spans="1:6">
      <c r="A1894" s="5">
        <v>1892</v>
      </c>
      <c r="B1894" s="5" t="str">
        <f>"36412022010415363179930"</f>
        <v>36412022010415363179930</v>
      </c>
      <c r="C1894" s="5" t="s">
        <v>34</v>
      </c>
      <c r="D1894" s="5" t="str">
        <f>"陈菊"</f>
        <v>陈菊</v>
      </c>
      <c r="E1894" s="5" t="str">
        <f t="shared" si="196"/>
        <v>女</v>
      </c>
      <c r="F1894" s="5" t="str">
        <f t="shared" si="197"/>
        <v>汉族</v>
      </c>
    </row>
    <row r="1895" ht="30" customHeight="1" spans="1:6">
      <c r="A1895" s="5">
        <v>1893</v>
      </c>
      <c r="B1895" s="5" t="str">
        <f>"36412022010415414479971"</f>
        <v>36412022010415414479971</v>
      </c>
      <c r="C1895" s="5" t="s">
        <v>34</v>
      </c>
      <c r="D1895" s="5" t="str">
        <f>"徐永玲"</f>
        <v>徐永玲</v>
      </c>
      <c r="E1895" s="5" t="str">
        <f t="shared" si="196"/>
        <v>女</v>
      </c>
      <c r="F1895" s="5" t="str">
        <f t="shared" si="197"/>
        <v>汉族</v>
      </c>
    </row>
    <row r="1896" ht="30" customHeight="1" spans="1:6">
      <c r="A1896" s="5">
        <v>1894</v>
      </c>
      <c r="B1896" s="5" t="str">
        <f>"36412022010415463080006"</f>
        <v>36412022010415463080006</v>
      </c>
      <c r="C1896" s="5" t="s">
        <v>34</v>
      </c>
      <c r="D1896" s="5" t="str">
        <f>"刘晓霞"</f>
        <v>刘晓霞</v>
      </c>
      <c r="E1896" s="5" t="str">
        <f t="shared" si="196"/>
        <v>女</v>
      </c>
      <c r="F1896" s="5" t="str">
        <f t="shared" si="197"/>
        <v>汉族</v>
      </c>
    </row>
    <row r="1897" ht="30" customHeight="1" spans="1:6">
      <c r="A1897" s="5">
        <v>1895</v>
      </c>
      <c r="B1897" s="5" t="str">
        <f>"36412022010415515280045"</f>
        <v>36412022010415515280045</v>
      </c>
      <c r="C1897" s="5" t="s">
        <v>34</v>
      </c>
      <c r="D1897" s="5" t="str">
        <f>"陈小爱"</f>
        <v>陈小爱</v>
      </c>
      <c r="E1897" s="5" t="str">
        <f t="shared" si="196"/>
        <v>女</v>
      </c>
      <c r="F1897" s="5" t="str">
        <f t="shared" si="197"/>
        <v>汉族</v>
      </c>
    </row>
    <row r="1898" ht="30" customHeight="1" spans="1:6">
      <c r="A1898" s="5">
        <v>1896</v>
      </c>
      <c r="B1898" s="5" t="str">
        <f>"36412022010416140980168"</f>
        <v>36412022010416140980168</v>
      </c>
      <c r="C1898" s="5" t="s">
        <v>34</v>
      </c>
      <c r="D1898" s="5" t="str">
        <f>"吴玉霞"</f>
        <v>吴玉霞</v>
      </c>
      <c r="E1898" s="5" t="str">
        <f t="shared" si="196"/>
        <v>女</v>
      </c>
      <c r="F1898" s="5" t="str">
        <f t="shared" si="197"/>
        <v>汉族</v>
      </c>
    </row>
    <row r="1899" ht="30" customHeight="1" spans="1:6">
      <c r="A1899" s="5">
        <v>1897</v>
      </c>
      <c r="B1899" s="5" t="str">
        <f>"36412022010417172080516"</f>
        <v>36412022010417172080516</v>
      </c>
      <c r="C1899" s="5" t="s">
        <v>34</v>
      </c>
      <c r="D1899" s="5" t="str">
        <f>"周雄英"</f>
        <v>周雄英</v>
      </c>
      <c r="E1899" s="5" t="str">
        <f t="shared" si="196"/>
        <v>女</v>
      </c>
      <c r="F1899" s="5" t="str">
        <f t="shared" si="197"/>
        <v>汉族</v>
      </c>
    </row>
    <row r="1900" ht="30" customHeight="1" spans="1:6">
      <c r="A1900" s="5">
        <v>1898</v>
      </c>
      <c r="B1900" s="5" t="str">
        <f>"36412022010417464380655"</f>
        <v>36412022010417464380655</v>
      </c>
      <c r="C1900" s="5" t="s">
        <v>34</v>
      </c>
      <c r="D1900" s="5" t="str">
        <f>"杨思婷"</f>
        <v>杨思婷</v>
      </c>
      <c r="E1900" s="5" t="str">
        <f t="shared" si="196"/>
        <v>女</v>
      </c>
      <c r="F1900" s="5" t="str">
        <f t="shared" si="197"/>
        <v>汉族</v>
      </c>
    </row>
    <row r="1901" ht="30" customHeight="1" spans="1:6">
      <c r="A1901" s="5">
        <v>1899</v>
      </c>
      <c r="B1901" s="5" t="str">
        <f>"36412022010418024480725"</f>
        <v>36412022010418024480725</v>
      </c>
      <c r="C1901" s="5" t="s">
        <v>34</v>
      </c>
      <c r="D1901" s="5" t="str">
        <f>"符国艳"</f>
        <v>符国艳</v>
      </c>
      <c r="E1901" s="5" t="str">
        <f t="shared" si="196"/>
        <v>女</v>
      </c>
      <c r="F1901" s="5" t="str">
        <f t="shared" si="197"/>
        <v>汉族</v>
      </c>
    </row>
    <row r="1902" ht="30" customHeight="1" spans="1:6">
      <c r="A1902" s="5">
        <v>1900</v>
      </c>
      <c r="B1902" s="5" t="str">
        <f>"36412022010418182280788"</f>
        <v>36412022010418182280788</v>
      </c>
      <c r="C1902" s="5" t="s">
        <v>34</v>
      </c>
      <c r="D1902" s="5" t="str">
        <f>"甘小碧"</f>
        <v>甘小碧</v>
      </c>
      <c r="E1902" s="5" t="str">
        <f t="shared" si="196"/>
        <v>女</v>
      </c>
      <c r="F1902" s="5" t="str">
        <f t="shared" si="197"/>
        <v>汉族</v>
      </c>
    </row>
    <row r="1903" ht="30" customHeight="1" spans="1:6">
      <c r="A1903" s="5">
        <v>1901</v>
      </c>
      <c r="B1903" s="5" t="str">
        <f>"36412022010418411180890"</f>
        <v>36412022010418411180890</v>
      </c>
      <c r="C1903" s="5" t="s">
        <v>34</v>
      </c>
      <c r="D1903" s="5" t="str">
        <f>"陈彩莹"</f>
        <v>陈彩莹</v>
      </c>
      <c r="E1903" s="5" t="str">
        <f t="shared" si="196"/>
        <v>女</v>
      </c>
      <c r="F1903" s="5" t="str">
        <f t="shared" si="197"/>
        <v>汉族</v>
      </c>
    </row>
    <row r="1904" ht="30" customHeight="1" spans="1:6">
      <c r="A1904" s="5">
        <v>1902</v>
      </c>
      <c r="B1904" s="5" t="str">
        <f>"36412022010418474980921"</f>
        <v>36412022010418474980921</v>
      </c>
      <c r="C1904" s="5" t="s">
        <v>34</v>
      </c>
      <c r="D1904" s="5" t="str">
        <f>"林婷"</f>
        <v>林婷</v>
      </c>
      <c r="E1904" s="5" t="str">
        <f t="shared" si="196"/>
        <v>女</v>
      </c>
      <c r="F1904" s="5" t="str">
        <f t="shared" si="197"/>
        <v>汉族</v>
      </c>
    </row>
    <row r="1905" ht="30" customHeight="1" spans="1:6">
      <c r="A1905" s="5">
        <v>1903</v>
      </c>
      <c r="B1905" s="5" t="str">
        <f>"36412022010419082581020"</f>
        <v>36412022010419082581020</v>
      </c>
      <c r="C1905" s="5" t="s">
        <v>34</v>
      </c>
      <c r="D1905" s="5" t="str">
        <f>"陈平"</f>
        <v>陈平</v>
      </c>
      <c r="E1905" s="5" t="str">
        <f t="shared" si="196"/>
        <v>女</v>
      </c>
      <c r="F1905" s="5" t="str">
        <f t="shared" si="197"/>
        <v>汉族</v>
      </c>
    </row>
    <row r="1906" ht="30" customHeight="1" spans="1:6">
      <c r="A1906" s="5">
        <v>1904</v>
      </c>
      <c r="B1906" s="5" t="str">
        <f>"36412022010419560681249"</f>
        <v>36412022010419560681249</v>
      </c>
      <c r="C1906" s="5" t="s">
        <v>34</v>
      </c>
      <c r="D1906" s="5" t="str">
        <f>"蔡艳红"</f>
        <v>蔡艳红</v>
      </c>
      <c r="E1906" s="5" t="str">
        <f t="shared" si="196"/>
        <v>女</v>
      </c>
      <c r="F1906" s="5" t="str">
        <f t="shared" si="197"/>
        <v>汉族</v>
      </c>
    </row>
    <row r="1907" ht="30" customHeight="1" spans="1:6">
      <c r="A1907" s="5">
        <v>1905</v>
      </c>
      <c r="B1907" s="5" t="str">
        <f>"36412022010420063081295"</f>
        <v>36412022010420063081295</v>
      </c>
      <c r="C1907" s="5" t="s">
        <v>34</v>
      </c>
      <c r="D1907" s="5" t="str">
        <f>"杜才凤"</f>
        <v>杜才凤</v>
      </c>
      <c r="E1907" s="5" t="str">
        <f t="shared" si="196"/>
        <v>女</v>
      </c>
      <c r="F1907" s="5" t="str">
        <f t="shared" si="197"/>
        <v>汉族</v>
      </c>
    </row>
    <row r="1908" ht="30" customHeight="1" spans="1:6">
      <c r="A1908" s="5">
        <v>1906</v>
      </c>
      <c r="B1908" s="5" t="str">
        <f>"36412022010420244481395"</f>
        <v>36412022010420244481395</v>
      </c>
      <c r="C1908" s="5" t="s">
        <v>34</v>
      </c>
      <c r="D1908" s="5" t="str">
        <f>"李秋萍"</f>
        <v>李秋萍</v>
      </c>
      <c r="E1908" s="5" t="str">
        <f t="shared" si="196"/>
        <v>女</v>
      </c>
      <c r="F1908" s="5" t="str">
        <f>"黎族"</f>
        <v>黎族</v>
      </c>
    </row>
    <row r="1909" ht="30" customHeight="1" spans="1:6">
      <c r="A1909" s="5">
        <v>1907</v>
      </c>
      <c r="B1909" s="5" t="str">
        <f>"36412022010420413181487"</f>
        <v>36412022010420413181487</v>
      </c>
      <c r="C1909" s="5" t="s">
        <v>34</v>
      </c>
      <c r="D1909" s="5" t="str">
        <f>"卢兰珍"</f>
        <v>卢兰珍</v>
      </c>
      <c r="E1909" s="5" t="str">
        <f t="shared" si="196"/>
        <v>女</v>
      </c>
      <c r="F1909" s="5" t="str">
        <f>"汉族"</f>
        <v>汉族</v>
      </c>
    </row>
    <row r="1910" ht="30" customHeight="1" spans="1:6">
      <c r="A1910" s="5">
        <v>1908</v>
      </c>
      <c r="B1910" s="5" t="str">
        <f>"36412022010420432281492"</f>
        <v>36412022010420432281492</v>
      </c>
      <c r="C1910" s="5" t="s">
        <v>34</v>
      </c>
      <c r="D1910" s="5" t="str">
        <f>"罗小奋"</f>
        <v>罗小奋</v>
      </c>
      <c r="E1910" s="5" t="str">
        <f t="shared" si="196"/>
        <v>女</v>
      </c>
      <c r="F1910" s="5" t="str">
        <f>"汉族"</f>
        <v>汉族</v>
      </c>
    </row>
    <row r="1911" ht="30" customHeight="1" spans="1:6">
      <c r="A1911" s="5">
        <v>1909</v>
      </c>
      <c r="B1911" s="5" t="str">
        <f>"36412022010421102581630"</f>
        <v>36412022010421102581630</v>
      </c>
      <c r="C1911" s="5" t="s">
        <v>34</v>
      </c>
      <c r="D1911" s="5" t="str">
        <f>"颜煜"</f>
        <v>颜煜</v>
      </c>
      <c r="E1911" s="5" t="str">
        <f t="shared" si="196"/>
        <v>女</v>
      </c>
      <c r="F1911" s="5" t="str">
        <f>"汉族"</f>
        <v>汉族</v>
      </c>
    </row>
    <row r="1912" ht="30" customHeight="1" spans="1:6">
      <c r="A1912" s="5">
        <v>1910</v>
      </c>
      <c r="B1912" s="5" t="str">
        <f>"36412022010422054781861"</f>
        <v>36412022010422054781861</v>
      </c>
      <c r="C1912" s="5" t="s">
        <v>34</v>
      </c>
      <c r="D1912" s="5" t="str">
        <f>"羊敏华"</f>
        <v>羊敏华</v>
      </c>
      <c r="E1912" s="5" t="str">
        <f t="shared" si="196"/>
        <v>女</v>
      </c>
      <c r="F1912" s="5" t="str">
        <f>"黎族"</f>
        <v>黎族</v>
      </c>
    </row>
    <row r="1913" ht="30" customHeight="1" spans="1:6">
      <c r="A1913" s="5">
        <v>1911</v>
      </c>
      <c r="B1913" s="5" t="str">
        <f>"36412022010422205781921"</f>
        <v>36412022010422205781921</v>
      </c>
      <c r="C1913" s="5" t="s">
        <v>34</v>
      </c>
      <c r="D1913" s="5" t="str">
        <f>"薛春驳"</f>
        <v>薛春驳</v>
      </c>
      <c r="E1913" s="5" t="str">
        <f t="shared" si="196"/>
        <v>女</v>
      </c>
      <c r="F1913" s="5" t="str">
        <f>"汉族"</f>
        <v>汉族</v>
      </c>
    </row>
    <row r="1914" ht="30" customHeight="1" spans="1:6">
      <c r="A1914" s="5">
        <v>1912</v>
      </c>
      <c r="B1914" s="5" t="str">
        <f>"36412022010422374681989"</f>
        <v>36412022010422374681989</v>
      </c>
      <c r="C1914" s="5" t="s">
        <v>34</v>
      </c>
      <c r="D1914" s="5" t="str">
        <f>"符以娜"</f>
        <v>符以娜</v>
      </c>
      <c r="E1914" s="5" t="str">
        <f t="shared" si="196"/>
        <v>女</v>
      </c>
      <c r="F1914" s="5" t="str">
        <f>"汉族"</f>
        <v>汉族</v>
      </c>
    </row>
    <row r="1915" ht="30" customHeight="1" spans="1:6">
      <c r="A1915" s="5">
        <v>1913</v>
      </c>
      <c r="B1915" s="5" t="str">
        <f>"36412022010422452382015"</f>
        <v>36412022010422452382015</v>
      </c>
      <c r="C1915" s="5" t="s">
        <v>34</v>
      </c>
      <c r="D1915" s="5" t="str">
        <f>"陈珠"</f>
        <v>陈珠</v>
      </c>
      <c r="E1915" s="5" t="str">
        <f t="shared" si="196"/>
        <v>女</v>
      </c>
      <c r="F1915" s="5" t="str">
        <f>"黎族"</f>
        <v>黎族</v>
      </c>
    </row>
    <row r="1916" ht="30" customHeight="1" spans="1:6">
      <c r="A1916" s="5">
        <v>1914</v>
      </c>
      <c r="B1916" s="5" t="str">
        <f>"36412022010423003282066"</f>
        <v>36412022010423003282066</v>
      </c>
      <c r="C1916" s="5" t="s">
        <v>34</v>
      </c>
      <c r="D1916" s="5" t="str">
        <f>"周著霞"</f>
        <v>周著霞</v>
      </c>
      <c r="E1916" s="5" t="str">
        <f t="shared" si="196"/>
        <v>女</v>
      </c>
      <c r="F1916" s="5" t="str">
        <f t="shared" ref="F1916:F1925" si="198">"汉族"</f>
        <v>汉族</v>
      </c>
    </row>
    <row r="1917" ht="30" customHeight="1" spans="1:6">
      <c r="A1917" s="5">
        <v>1915</v>
      </c>
      <c r="B1917" s="5" t="str">
        <f>"36412022010508465282459"</f>
        <v>36412022010508465282459</v>
      </c>
      <c r="C1917" s="5" t="s">
        <v>34</v>
      </c>
      <c r="D1917" s="5" t="str">
        <f>"曾丽丽"</f>
        <v>曾丽丽</v>
      </c>
      <c r="E1917" s="5" t="str">
        <f t="shared" si="196"/>
        <v>女</v>
      </c>
      <c r="F1917" s="5" t="str">
        <f t="shared" si="198"/>
        <v>汉族</v>
      </c>
    </row>
    <row r="1918" ht="30" customHeight="1" spans="1:6">
      <c r="A1918" s="5">
        <v>1916</v>
      </c>
      <c r="B1918" s="5" t="str">
        <f>"36412022010508554282480"</f>
        <v>36412022010508554282480</v>
      </c>
      <c r="C1918" s="5" t="s">
        <v>34</v>
      </c>
      <c r="D1918" s="5" t="str">
        <f>"姜俏君"</f>
        <v>姜俏君</v>
      </c>
      <c r="E1918" s="5" t="str">
        <f t="shared" si="196"/>
        <v>女</v>
      </c>
      <c r="F1918" s="5" t="str">
        <f t="shared" si="198"/>
        <v>汉族</v>
      </c>
    </row>
    <row r="1919" ht="30" customHeight="1" spans="1:6">
      <c r="A1919" s="5">
        <v>1917</v>
      </c>
      <c r="B1919" s="5" t="str">
        <f>"36412022010509220982621"</f>
        <v>36412022010509220982621</v>
      </c>
      <c r="C1919" s="5" t="s">
        <v>34</v>
      </c>
      <c r="D1919" s="5" t="str">
        <f>"黎英姣"</f>
        <v>黎英姣</v>
      </c>
      <c r="E1919" s="5" t="str">
        <f t="shared" si="196"/>
        <v>女</v>
      </c>
      <c r="F1919" s="5" t="str">
        <f t="shared" si="198"/>
        <v>汉族</v>
      </c>
    </row>
    <row r="1920" ht="30" customHeight="1" spans="1:6">
      <c r="A1920" s="5">
        <v>1918</v>
      </c>
      <c r="B1920" s="5" t="str">
        <f>"36412022010509551582815"</f>
        <v>36412022010509551582815</v>
      </c>
      <c r="C1920" s="5" t="s">
        <v>34</v>
      </c>
      <c r="D1920" s="5" t="str">
        <f>"符和斌"</f>
        <v>符和斌</v>
      </c>
      <c r="E1920" s="5" t="str">
        <f t="shared" si="196"/>
        <v>女</v>
      </c>
      <c r="F1920" s="5" t="str">
        <f t="shared" si="198"/>
        <v>汉族</v>
      </c>
    </row>
    <row r="1921" ht="30" customHeight="1" spans="1:6">
      <c r="A1921" s="5">
        <v>1919</v>
      </c>
      <c r="B1921" s="5" t="str">
        <f>"36412022010509575182830"</f>
        <v>36412022010509575182830</v>
      </c>
      <c r="C1921" s="5" t="s">
        <v>34</v>
      </c>
      <c r="D1921" s="5" t="str">
        <f>"蔡小蝶"</f>
        <v>蔡小蝶</v>
      </c>
      <c r="E1921" s="5" t="str">
        <f t="shared" si="196"/>
        <v>女</v>
      </c>
      <c r="F1921" s="5" t="str">
        <f t="shared" si="198"/>
        <v>汉族</v>
      </c>
    </row>
    <row r="1922" ht="30" customHeight="1" spans="1:6">
      <c r="A1922" s="5">
        <v>1920</v>
      </c>
      <c r="B1922" s="5" t="str">
        <f>"36412022010510273083031"</f>
        <v>36412022010510273083031</v>
      </c>
      <c r="C1922" s="5" t="s">
        <v>34</v>
      </c>
      <c r="D1922" s="5" t="str">
        <f>"符茂容"</f>
        <v>符茂容</v>
      </c>
      <c r="E1922" s="5" t="str">
        <f t="shared" si="196"/>
        <v>女</v>
      </c>
      <c r="F1922" s="5" t="str">
        <f t="shared" si="198"/>
        <v>汉族</v>
      </c>
    </row>
    <row r="1923" ht="30" customHeight="1" spans="1:6">
      <c r="A1923" s="5">
        <v>1921</v>
      </c>
      <c r="B1923" s="5" t="str">
        <f>"36412022010511015383281"</f>
        <v>36412022010511015383281</v>
      </c>
      <c r="C1923" s="5" t="s">
        <v>34</v>
      </c>
      <c r="D1923" s="5" t="str">
        <f>"黎秀美"</f>
        <v>黎秀美</v>
      </c>
      <c r="E1923" s="5" t="str">
        <f t="shared" si="196"/>
        <v>女</v>
      </c>
      <c r="F1923" s="5" t="str">
        <f t="shared" si="198"/>
        <v>汉族</v>
      </c>
    </row>
    <row r="1924" ht="30" customHeight="1" spans="1:6">
      <c r="A1924" s="5">
        <v>1922</v>
      </c>
      <c r="B1924" s="5" t="str">
        <f>"36412022010511174983398"</f>
        <v>36412022010511174983398</v>
      </c>
      <c r="C1924" s="5" t="s">
        <v>34</v>
      </c>
      <c r="D1924" s="5" t="str">
        <f>"张晓翠"</f>
        <v>张晓翠</v>
      </c>
      <c r="E1924" s="5" t="str">
        <f t="shared" si="196"/>
        <v>女</v>
      </c>
      <c r="F1924" s="5" t="str">
        <f t="shared" si="198"/>
        <v>汉族</v>
      </c>
    </row>
    <row r="1925" ht="30" customHeight="1" spans="1:6">
      <c r="A1925" s="5">
        <v>1923</v>
      </c>
      <c r="B1925" s="5" t="str">
        <f>"36412022010512474183831"</f>
        <v>36412022010512474183831</v>
      </c>
      <c r="C1925" s="5" t="s">
        <v>34</v>
      </c>
      <c r="D1925" s="5" t="str">
        <f>"陈少花"</f>
        <v>陈少花</v>
      </c>
      <c r="E1925" s="5" t="str">
        <f t="shared" si="196"/>
        <v>女</v>
      </c>
      <c r="F1925" s="5" t="str">
        <f t="shared" si="198"/>
        <v>汉族</v>
      </c>
    </row>
    <row r="1926" ht="30" customHeight="1" spans="1:6">
      <c r="A1926" s="5">
        <v>1924</v>
      </c>
      <c r="B1926" s="5" t="str">
        <f>"36412022010512505483843"</f>
        <v>36412022010512505483843</v>
      </c>
      <c r="C1926" s="5" t="s">
        <v>34</v>
      </c>
      <c r="D1926" s="5" t="str">
        <f>"陈小小"</f>
        <v>陈小小</v>
      </c>
      <c r="E1926" s="5" t="str">
        <f t="shared" si="196"/>
        <v>女</v>
      </c>
      <c r="F1926" s="5" t="str">
        <f>"黎族"</f>
        <v>黎族</v>
      </c>
    </row>
    <row r="1927" ht="30" customHeight="1" spans="1:6">
      <c r="A1927" s="5">
        <v>1925</v>
      </c>
      <c r="B1927" s="5" t="str">
        <f>"36412022010513453184087"</f>
        <v>36412022010513453184087</v>
      </c>
      <c r="C1927" s="5" t="s">
        <v>34</v>
      </c>
      <c r="D1927" s="5" t="str">
        <f>"杨娇娇"</f>
        <v>杨娇娇</v>
      </c>
      <c r="E1927" s="5" t="str">
        <f t="shared" si="196"/>
        <v>女</v>
      </c>
      <c r="F1927" s="5" t="str">
        <f t="shared" ref="F1927:F1936" si="199">"汉族"</f>
        <v>汉族</v>
      </c>
    </row>
    <row r="1928" ht="30" customHeight="1" spans="1:6">
      <c r="A1928" s="5">
        <v>1926</v>
      </c>
      <c r="B1928" s="5" t="str">
        <f>"36412022010515123884505"</f>
        <v>36412022010515123884505</v>
      </c>
      <c r="C1928" s="5" t="s">
        <v>34</v>
      </c>
      <c r="D1928" s="5" t="str">
        <f>"符珠廷"</f>
        <v>符珠廷</v>
      </c>
      <c r="E1928" s="5" t="str">
        <f t="shared" si="196"/>
        <v>女</v>
      </c>
      <c r="F1928" s="5" t="str">
        <f t="shared" si="199"/>
        <v>汉族</v>
      </c>
    </row>
    <row r="1929" ht="30" customHeight="1" spans="1:6">
      <c r="A1929" s="5">
        <v>1927</v>
      </c>
      <c r="B1929" s="5" t="str">
        <f>"36412022010515175284542"</f>
        <v>36412022010515175284542</v>
      </c>
      <c r="C1929" s="5" t="s">
        <v>34</v>
      </c>
      <c r="D1929" s="5" t="str">
        <f>"陈婷婷"</f>
        <v>陈婷婷</v>
      </c>
      <c r="E1929" s="5" t="str">
        <f t="shared" si="196"/>
        <v>女</v>
      </c>
      <c r="F1929" s="5" t="str">
        <f t="shared" si="199"/>
        <v>汉族</v>
      </c>
    </row>
    <row r="1930" ht="30" customHeight="1" spans="1:6">
      <c r="A1930" s="5">
        <v>1928</v>
      </c>
      <c r="B1930" s="5" t="str">
        <f>"36412022010516395784994"</f>
        <v>36412022010516395784994</v>
      </c>
      <c r="C1930" s="5" t="s">
        <v>34</v>
      </c>
      <c r="D1930" s="5" t="str">
        <f>"钟小梅"</f>
        <v>钟小梅</v>
      </c>
      <c r="E1930" s="5" t="str">
        <f t="shared" si="196"/>
        <v>女</v>
      </c>
      <c r="F1930" s="5" t="str">
        <f t="shared" si="199"/>
        <v>汉族</v>
      </c>
    </row>
    <row r="1931" ht="30" customHeight="1" spans="1:6">
      <c r="A1931" s="5">
        <v>1929</v>
      </c>
      <c r="B1931" s="5" t="str">
        <f>"36412022010520033585825"</f>
        <v>36412022010520033585825</v>
      </c>
      <c r="C1931" s="5" t="s">
        <v>34</v>
      </c>
      <c r="D1931" s="5" t="str">
        <f>"林文英"</f>
        <v>林文英</v>
      </c>
      <c r="E1931" s="5" t="str">
        <f t="shared" ref="E1931:E1959" si="200">"女"</f>
        <v>女</v>
      </c>
      <c r="F1931" s="5" t="str">
        <f t="shared" si="199"/>
        <v>汉族</v>
      </c>
    </row>
    <row r="1932" ht="30" customHeight="1" spans="1:6">
      <c r="A1932" s="5">
        <v>1930</v>
      </c>
      <c r="B1932" s="5" t="str">
        <f>"36412022010520254085925"</f>
        <v>36412022010520254085925</v>
      </c>
      <c r="C1932" s="5" t="s">
        <v>34</v>
      </c>
      <c r="D1932" s="5" t="str">
        <f>"李桃香"</f>
        <v>李桃香</v>
      </c>
      <c r="E1932" s="5" t="str">
        <f t="shared" si="200"/>
        <v>女</v>
      </c>
      <c r="F1932" s="5" t="str">
        <f t="shared" si="199"/>
        <v>汉族</v>
      </c>
    </row>
    <row r="1933" ht="30" customHeight="1" spans="1:6">
      <c r="A1933" s="5">
        <v>1931</v>
      </c>
      <c r="B1933" s="5" t="str">
        <f>"36412022010520315185946"</f>
        <v>36412022010520315185946</v>
      </c>
      <c r="C1933" s="5" t="s">
        <v>34</v>
      </c>
      <c r="D1933" s="5" t="str">
        <f>"王丽聪"</f>
        <v>王丽聪</v>
      </c>
      <c r="E1933" s="5" t="str">
        <f t="shared" si="200"/>
        <v>女</v>
      </c>
      <c r="F1933" s="5" t="str">
        <f t="shared" si="199"/>
        <v>汉族</v>
      </c>
    </row>
    <row r="1934" ht="30" customHeight="1" spans="1:6">
      <c r="A1934" s="5">
        <v>1932</v>
      </c>
      <c r="B1934" s="5" t="str">
        <f>"36412022010521065386113"</f>
        <v>36412022010521065386113</v>
      </c>
      <c r="C1934" s="5" t="s">
        <v>34</v>
      </c>
      <c r="D1934" s="5" t="str">
        <f>"王海玲"</f>
        <v>王海玲</v>
      </c>
      <c r="E1934" s="5" t="str">
        <f t="shared" si="200"/>
        <v>女</v>
      </c>
      <c r="F1934" s="5" t="str">
        <f t="shared" si="199"/>
        <v>汉族</v>
      </c>
    </row>
    <row r="1935" ht="30" customHeight="1" spans="1:6">
      <c r="A1935" s="5">
        <v>1933</v>
      </c>
      <c r="B1935" s="5" t="str">
        <f>"36412022010521473186314"</f>
        <v>36412022010521473186314</v>
      </c>
      <c r="C1935" s="5" t="s">
        <v>34</v>
      </c>
      <c r="D1935" s="5" t="str">
        <f>"周小茹"</f>
        <v>周小茹</v>
      </c>
      <c r="E1935" s="5" t="str">
        <f t="shared" si="200"/>
        <v>女</v>
      </c>
      <c r="F1935" s="5" t="str">
        <f t="shared" si="199"/>
        <v>汉族</v>
      </c>
    </row>
    <row r="1936" ht="30" customHeight="1" spans="1:6">
      <c r="A1936" s="5">
        <v>1934</v>
      </c>
      <c r="B1936" s="5" t="str">
        <f>"36412022010522445786542"</f>
        <v>36412022010522445786542</v>
      </c>
      <c r="C1936" s="5" t="s">
        <v>34</v>
      </c>
      <c r="D1936" s="5" t="str">
        <f>"高芳琳"</f>
        <v>高芳琳</v>
      </c>
      <c r="E1936" s="5" t="str">
        <f t="shared" si="200"/>
        <v>女</v>
      </c>
      <c r="F1936" s="5" t="str">
        <f t="shared" si="199"/>
        <v>汉族</v>
      </c>
    </row>
    <row r="1937" ht="30" customHeight="1" spans="1:6">
      <c r="A1937" s="5">
        <v>1935</v>
      </c>
      <c r="B1937" s="5" t="str">
        <f>"36412022010522491086555"</f>
        <v>36412022010522491086555</v>
      </c>
      <c r="C1937" s="5" t="s">
        <v>34</v>
      </c>
      <c r="D1937" s="5" t="str">
        <f>"欧兰贞"</f>
        <v>欧兰贞</v>
      </c>
      <c r="E1937" s="5" t="str">
        <f t="shared" si="200"/>
        <v>女</v>
      </c>
      <c r="F1937" s="5" t="str">
        <f>"壮族"</f>
        <v>壮族</v>
      </c>
    </row>
    <row r="1938" ht="30" customHeight="1" spans="1:6">
      <c r="A1938" s="5">
        <v>1936</v>
      </c>
      <c r="B1938" s="5" t="str">
        <f>"36412022010523024086589"</f>
        <v>36412022010523024086589</v>
      </c>
      <c r="C1938" s="5" t="s">
        <v>34</v>
      </c>
      <c r="D1938" s="5" t="str">
        <f>"苏云珍"</f>
        <v>苏云珍</v>
      </c>
      <c r="E1938" s="5" t="str">
        <f t="shared" si="200"/>
        <v>女</v>
      </c>
      <c r="F1938" s="5" t="str">
        <f t="shared" ref="F1938:F1946" si="201">"汉族"</f>
        <v>汉族</v>
      </c>
    </row>
    <row r="1939" ht="30" customHeight="1" spans="1:6">
      <c r="A1939" s="5">
        <v>1937</v>
      </c>
      <c r="B1939" s="5" t="str">
        <f>"36412022010523130286617"</f>
        <v>36412022010523130286617</v>
      </c>
      <c r="C1939" s="5" t="s">
        <v>34</v>
      </c>
      <c r="D1939" s="5" t="str">
        <f>"陈亚亲"</f>
        <v>陈亚亲</v>
      </c>
      <c r="E1939" s="5" t="str">
        <f t="shared" si="200"/>
        <v>女</v>
      </c>
      <c r="F1939" s="5" t="str">
        <f t="shared" si="201"/>
        <v>汉族</v>
      </c>
    </row>
    <row r="1940" ht="30" customHeight="1" spans="1:6">
      <c r="A1940" s="5">
        <v>1938</v>
      </c>
      <c r="B1940" s="5" t="str">
        <f>"36412022010523151886622"</f>
        <v>36412022010523151886622</v>
      </c>
      <c r="C1940" s="5" t="s">
        <v>34</v>
      </c>
      <c r="D1940" s="5" t="str">
        <f>"沈艺真"</f>
        <v>沈艺真</v>
      </c>
      <c r="E1940" s="5" t="str">
        <f t="shared" si="200"/>
        <v>女</v>
      </c>
      <c r="F1940" s="5" t="str">
        <f t="shared" si="201"/>
        <v>汉族</v>
      </c>
    </row>
    <row r="1941" ht="30" customHeight="1" spans="1:6">
      <c r="A1941" s="5">
        <v>1939</v>
      </c>
      <c r="B1941" s="5" t="str">
        <f>"36412022010523490186687"</f>
        <v>36412022010523490186687</v>
      </c>
      <c r="C1941" s="5" t="s">
        <v>34</v>
      </c>
      <c r="D1941" s="5" t="str">
        <f>"林宏艳"</f>
        <v>林宏艳</v>
      </c>
      <c r="E1941" s="5" t="str">
        <f t="shared" si="200"/>
        <v>女</v>
      </c>
      <c r="F1941" s="5" t="str">
        <f t="shared" si="201"/>
        <v>汉族</v>
      </c>
    </row>
    <row r="1942" ht="30" customHeight="1" spans="1:6">
      <c r="A1942" s="5">
        <v>1940</v>
      </c>
      <c r="B1942" s="5" t="str">
        <f>"36412022010610533787465"</f>
        <v>36412022010610533787465</v>
      </c>
      <c r="C1942" s="5" t="s">
        <v>34</v>
      </c>
      <c r="D1942" s="5" t="str">
        <f>"文坤婧"</f>
        <v>文坤婧</v>
      </c>
      <c r="E1942" s="5" t="str">
        <f t="shared" si="200"/>
        <v>女</v>
      </c>
      <c r="F1942" s="5" t="str">
        <f t="shared" si="201"/>
        <v>汉族</v>
      </c>
    </row>
    <row r="1943" ht="30" customHeight="1" spans="1:6">
      <c r="A1943" s="5">
        <v>1941</v>
      </c>
      <c r="B1943" s="5" t="str">
        <f>"36412022010611040387522"</f>
        <v>36412022010611040387522</v>
      </c>
      <c r="C1943" s="5" t="s">
        <v>34</v>
      </c>
      <c r="D1943" s="5" t="str">
        <f>"孙星"</f>
        <v>孙星</v>
      </c>
      <c r="E1943" s="5" t="str">
        <f t="shared" si="200"/>
        <v>女</v>
      </c>
      <c r="F1943" s="5" t="str">
        <f t="shared" si="201"/>
        <v>汉族</v>
      </c>
    </row>
    <row r="1944" ht="30" customHeight="1" spans="1:6">
      <c r="A1944" s="5">
        <v>1942</v>
      </c>
      <c r="B1944" s="5" t="str">
        <f>"36412022010611104587556"</f>
        <v>36412022010611104587556</v>
      </c>
      <c r="C1944" s="5" t="s">
        <v>34</v>
      </c>
      <c r="D1944" s="5" t="str">
        <f>"杨平碗"</f>
        <v>杨平碗</v>
      </c>
      <c r="E1944" s="5" t="str">
        <f t="shared" si="200"/>
        <v>女</v>
      </c>
      <c r="F1944" s="5" t="str">
        <f t="shared" si="201"/>
        <v>汉族</v>
      </c>
    </row>
    <row r="1945" ht="30" customHeight="1" spans="1:6">
      <c r="A1945" s="5">
        <v>1943</v>
      </c>
      <c r="B1945" s="5" t="str">
        <f>"36412022010613352488138"</f>
        <v>36412022010613352488138</v>
      </c>
      <c r="C1945" s="5" t="s">
        <v>34</v>
      </c>
      <c r="D1945" s="5" t="str">
        <f>"孙静"</f>
        <v>孙静</v>
      </c>
      <c r="E1945" s="5" t="str">
        <f t="shared" si="200"/>
        <v>女</v>
      </c>
      <c r="F1945" s="5" t="str">
        <f t="shared" si="201"/>
        <v>汉族</v>
      </c>
    </row>
    <row r="1946" ht="30" customHeight="1" spans="1:6">
      <c r="A1946" s="5">
        <v>1944</v>
      </c>
      <c r="B1946" s="5" t="str">
        <f>"36412022010613365988143"</f>
        <v>36412022010613365988143</v>
      </c>
      <c r="C1946" s="5" t="s">
        <v>34</v>
      </c>
      <c r="D1946" s="5" t="str">
        <f>"郑福丹"</f>
        <v>郑福丹</v>
      </c>
      <c r="E1946" s="5" t="str">
        <f t="shared" si="200"/>
        <v>女</v>
      </c>
      <c r="F1946" s="5" t="str">
        <f t="shared" si="201"/>
        <v>汉族</v>
      </c>
    </row>
    <row r="1947" ht="30" customHeight="1" spans="1:6">
      <c r="A1947" s="5">
        <v>1945</v>
      </c>
      <c r="B1947" s="5" t="str">
        <f>"36412022010613390188151"</f>
        <v>36412022010613390188151</v>
      </c>
      <c r="C1947" s="5" t="s">
        <v>34</v>
      </c>
      <c r="D1947" s="5" t="str">
        <f>"邱兰玲"</f>
        <v>邱兰玲</v>
      </c>
      <c r="E1947" s="5" t="str">
        <f t="shared" si="200"/>
        <v>女</v>
      </c>
      <c r="F1947" s="5" t="str">
        <f>"黎族"</f>
        <v>黎族</v>
      </c>
    </row>
    <row r="1948" ht="30" customHeight="1" spans="1:6">
      <c r="A1948" s="5">
        <v>1946</v>
      </c>
      <c r="B1948" s="5" t="str">
        <f>"36412022010613440988178"</f>
        <v>36412022010613440988178</v>
      </c>
      <c r="C1948" s="5" t="s">
        <v>34</v>
      </c>
      <c r="D1948" s="5" t="str">
        <f>"江紫微"</f>
        <v>江紫微</v>
      </c>
      <c r="E1948" s="5" t="str">
        <f t="shared" si="200"/>
        <v>女</v>
      </c>
      <c r="F1948" s="5" t="str">
        <f t="shared" ref="F1948:F1955" si="202">"汉族"</f>
        <v>汉族</v>
      </c>
    </row>
    <row r="1949" ht="30" customHeight="1" spans="1:6">
      <c r="A1949" s="5">
        <v>1947</v>
      </c>
      <c r="B1949" s="5" t="str">
        <f>"36412022010616175488841"</f>
        <v>36412022010616175488841</v>
      </c>
      <c r="C1949" s="5" t="s">
        <v>34</v>
      </c>
      <c r="D1949" s="5" t="str">
        <f>"杨鸿婷"</f>
        <v>杨鸿婷</v>
      </c>
      <c r="E1949" s="5" t="str">
        <f t="shared" si="200"/>
        <v>女</v>
      </c>
      <c r="F1949" s="5" t="str">
        <f t="shared" si="202"/>
        <v>汉族</v>
      </c>
    </row>
    <row r="1950" ht="30" customHeight="1" spans="1:6">
      <c r="A1950" s="5">
        <v>1948</v>
      </c>
      <c r="B1950" s="5" t="str">
        <f>"36412022010616345488922"</f>
        <v>36412022010616345488922</v>
      </c>
      <c r="C1950" s="5" t="s">
        <v>34</v>
      </c>
      <c r="D1950" s="5" t="str">
        <f>"谢珍珍"</f>
        <v>谢珍珍</v>
      </c>
      <c r="E1950" s="5" t="str">
        <f t="shared" si="200"/>
        <v>女</v>
      </c>
      <c r="F1950" s="5" t="str">
        <f t="shared" si="202"/>
        <v>汉族</v>
      </c>
    </row>
    <row r="1951" ht="30" customHeight="1" spans="1:6">
      <c r="A1951" s="5">
        <v>1949</v>
      </c>
      <c r="B1951" s="5" t="str">
        <f>"36412022010617354689158"</f>
        <v>36412022010617354689158</v>
      </c>
      <c r="C1951" s="5" t="s">
        <v>34</v>
      </c>
      <c r="D1951" s="5" t="str">
        <f>"符华艳"</f>
        <v>符华艳</v>
      </c>
      <c r="E1951" s="5" t="str">
        <f t="shared" si="200"/>
        <v>女</v>
      </c>
      <c r="F1951" s="5" t="str">
        <f t="shared" si="202"/>
        <v>汉族</v>
      </c>
    </row>
    <row r="1952" ht="30" customHeight="1" spans="1:6">
      <c r="A1952" s="5">
        <v>1950</v>
      </c>
      <c r="B1952" s="5" t="str">
        <f>"36412022010618011089240"</f>
        <v>36412022010618011089240</v>
      </c>
      <c r="C1952" s="5" t="s">
        <v>34</v>
      </c>
      <c r="D1952" s="5" t="str">
        <f>"吉美燕"</f>
        <v>吉美燕</v>
      </c>
      <c r="E1952" s="5" t="str">
        <f t="shared" si="200"/>
        <v>女</v>
      </c>
      <c r="F1952" s="5" t="str">
        <f t="shared" si="202"/>
        <v>汉族</v>
      </c>
    </row>
    <row r="1953" ht="30" customHeight="1" spans="1:6">
      <c r="A1953" s="5">
        <v>1951</v>
      </c>
      <c r="B1953" s="5" t="str">
        <f>"36412022010619405789545"</f>
        <v>36412022010619405789545</v>
      </c>
      <c r="C1953" s="5" t="s">
        <v>34</v>
      </c>
      <c r="D1953" s="5" t="str">
        <f>"吴玉妹"</f>
        <v>吴玉妹</v>
      </c>
      <c r="E1953" s="5" t="str">
        <f t="shared" si="200"/>
        <v>女</v>
      </c>
      <c r="F1953" s="5" t="str">
        <f t="shared" si="202"/>
        <v>汉族</v>
      </c>
    </row>
    <row r="1954" ht="30" customHeight="1" spans="1:6">
      <c r="A1954" s="5">
        <v>1952</v>
      </c>
      <c r="B1954" s="5" t="str">
        <f>"36412022010620220689712"</f>
        <v>36412022010620220689712</v>
      </c>
      <c r="C1954" s="5" t="s">
        <v>34</v>
      </c>
      <c r="D1954" s="5" t="str">
        <f>"黄玉珍"</f>
        <v>黄玉珍</v>
      </c>
      <c r="E1954" s="5" t="str">
        <f t="shared" si="200"/>
        <v>女</v>
      </c>
      <c r="F1954" s="5" t="str">
        <f t="shared" si="202"/>
        <v>汉族</v>
      </c>
    </row>
    <row r="1955" ht="30" customHeight="1" spans="1:6">
      <c r="A1955" s="5">
        <v>1953</v>
      </c>
      <c r="B1955" s="5" t="str">
        <f>"36412022010623043790258"</f>
        <v>36412022010623043790258</v>
      </c>
      <c r="C1955" s="5" t="s">
        <v>34</v>
      </c>
      <c r="D1955" s="5" t="str">
        <f>"王婷"</f>
        <v>王婷</v>
      </c>
      <c r="E1955" s="5" t="str">
        <f t="shared" si="200"/>
        <v>女</v>
      </c>
      <c r="F1955" s="5" t="str">
        <f t="shared" si="202"/>
        <v>汉族</v>
      </c>
    </row>
    <row r="1956" ht="30" customHeight="1" spans="1:6">
      <c r="A1956" s="5">
        <v>1954</v>
      </c>
      <c r="B1956" s="5" t="str">
        <f>"36412022010709155790640"</f>
        <v>36412022010709155790640</v>
      </c>
      <c r="C1956" s="5" t="s">
        <v>34</v>
      </c>
      <c r="D1956" s="5" t="str">
        <f>"陈少惠"</f>
        <v>陈少惠</v>
      </c>
      <c r="E1956" s="5" t="str">
        <f t="shared" si="200"/>
        <v>女</v>
      </c>
      <c r="F1956" s="5" t="str">
        <f>"黎族"</f>
        <v>黎族</v>
      </c>
    </row>
    <row r="1957" ht="30" customHeight="1" spans="1:6">
      <c r="A1957" s="5">
        <v>1955</v>
      </c>
      <c r="B1957" s="5" t="str">
        <f>"36412022010710074090811"</f>
        <v>36412022010710074090811</v>
      </c>
      <c r="C1957" s="5" t="s">
        <v>34</v>
      </c>
      <c r="D1957" s="5" t="str">
        <f>"孟丽君"</f>
        <v>孟丽君</v>
      </c>
      <c r="E1957" s="5" t="str">
        <f t="shared" si="200"/>
        <v>女</v>
      </c>
      <c r="F1957" s="5" t="str">
        <f t="shared" ref="F1957:F1976" si="203">"汉族"</f>
        <v>汉族</v>
      </c>
    </row>
    <row r="1958" ht="30" customHeight="1" spans="1:6">
      <c r="A1958" s="5">
        <v>1956</v>
      </c>
      <c r="B1958" s="5" t="str">
        <f>"36412022010710365790914"</f>
        <v>36412022010710365790914</v>
      </c>
      <c r="C1958" s="5" t="s">
        <v>34</v>
      </c>
      <c r="D1958" s="5" t="str">
        <f>"章霖静"</f>
        <v>章霖静</v>
      </c>
      <c r="E1958" s="5" t="str">
        <f t="shared" si="200"/>
        <v>女</v>
      </c>
      <c r="F1958" s="5" t="str">
        <f t="shared" si="203"/>
        <v>汉族</v>
      </c>
    </row>
    <row r="1959" ht="30" customHeight="1" spans="1:6">
      <c r="A1959" s="5">
        <v>1957</v>
      </c>
      <c r="B1959" s="5" t="str">
        <f>"36412022010710482790970"</f>
        <v>36412022010710482790970</v>
      </c>
      <c r="C1959" s="5" t="s">
        <v>34</v>
      </c>
      <c r="D1959" s="5" t="str">
        <f>"林馨"</f>
        <v>林馨</v>
      </c>
      <c r="E1959" s="5" t="str">
        <f t="shared" si="200"/>
        <v>女</v>
      </c>
      <c r="F1959" s="5" t="str">
        <f t="shared" si="203"/>
        <v>汉族</v>
      </c>
    </row>
    <row r="1960" ht="30" customHeight="1" spans="1:6">
      <c r="A1960" s="5">
        <v>1958</v>
      </c>
      <c r="B1960" s="5" t="str">
        <f>"36412022010711482191197"</f>
        <v>36412022010711482191197</v>
      </c>
      <c r="C1960" s="5" t="s">
        <v>34</v>
      </c>
      <c r="D1960" s="5" t="str">
        <f>"欧阳泽祥"</f>
        <v>欧阳泽祥</v>
      </c>
      <c r="E1960" s="5" t="str">
        <f>"男"</f>
        <v>男</v>
      </c>
      <c r="F1960" s="5" t="str">
        <f t="shared" si="203"/>
        <v>汉族</v>
      </c>
    </row>
    <row r="1961" ht="30" customHeight="1" spans="1:6">
      <c r="A1961" s="5">
        <v>1959</v>
      </c>
      <c r="B1961" s="5" t="str">
        <f>"36412022010712254291341"</f>
        <v>36412022010712254291341</v>
      </c>
      <c r="C1961" s="5" t="s">
        <v>34</v>
      </c>
      <c r="D1961" s="5" t="str">
        <f>"倪叶婷"</f>
        <v>倪叶婷</v>
      </c>
      <c r="E1961" s="5" t="str">
        <f t="shared" ref="E1961:E2001" si="204">"女"</f>
        <v>女</v>
      </c>
      <c r="F1961" s="5" t="str">
        <f t="shared" si="203"/>
        <v>汉族</v>
      </c>
    </row>
    <row r="1962" ht="30" customHeight="1" spans="1:6">
      <c r="A1962" s="5">
        <v>1960</v>
      </c>
      <c r="B1962" s="5" t="str">
        <f>"36412022010716143592169"</f>
        <v>36412022010716143592169</v>
      </c>
      <c r="C1962" s="5" t="s">
        <v>34</v>
      </c>
      <c r="D1962" s="5" t="str">
        <f>"林季花"</f>
        <v>林季花</v>
      </c>
      <c r="E1962" s="5" t="str">
        <f t="shared" si="204"/>
        <v>女</v>
      </c>
      <c r="F1962" s="5" t="str">
        <f t="shared" si="203"/>
        <v>汉族</v>
      </c>
    </row>
    <row r="1963" ht="30" customHeight="1" spans="1:6">
      <c r="A1963" s="5">
        <v>1961</v>
      </c>
      <c r="B1963" s="5" t="str">
        <f>"36412022010716553792306"</f>
        <v>36412022010716553792306</v>
      </c>
      <c r="C1963" s="5" t="s">
        <v>34</v>
      </c>
      <c r="D1963" s="5" t="str">
        <f>"高克珍"</f>
        <v>高克珍</v>
      </c>
      <c r="E1963" s="5" t="str">
        <f t="shared" si="204"/>
        <v>女</v>
      </c>
      <c r="F1963" s="5" t="str">
        <f t="shared" si="203"/>
        <v>汉族</v>
      </c>
    </row>
    <row r="1964" ht="30" customHeight="1" spans="1:6">
      <c r="A1964" s="5">
        <v>1962</v>
      </c>
      <c r="B1964" s="5" t="str">
        <f>"36412022010716571892312"</f>
        <v>36412022010716571892312</v>
      </c>
      <c r="C1964" s="5" t="s">
        <v>34</v>
      </c>
      <c r="D1964" s="5" t="str">
        <f>"梁钰娟"</f>
        <v>梁钰娟</v>
      </c>
      <c r="E1964" s="5" t="str">
        <f t="shared" si="204"/>
        <v>女</v>
      </c>
      <c r="F1964" s="5" t="str">
        <f t="shared" si="203"/>
        <v>汉族</v>
      </c>
    </row>
    <row r="1965" ht="30" customHeight="1" spans="1:6">
      <c r="A1965" s="5">
        <v>1963</v>
      </c>
      <c r="B1965" s="5" t="str">
        <f>"36412022010717152092378"</f>
        <v>36412022010717152092378</v>
      </c>
      <c r="C1965" s="5" t="s">
        <v>34</v>
      </c>
      <c r="D1965" s="5" t="str">
        <f>"王春金"</f>
        <v>王春金</v>
      </c>
      <c r="E1965" s="5" t="str">
        <f t="shared" si="204"/>
        <v>女</v>
      </c>
      <c r="F1965" s="5" t="str">
        <f t="shared" si="203"/>
        <v>汉族</v>
      </c>
    </row>
    <row r="1966" ht="30" customHeight="1" spans="1:6">
      <c r="A1966" s="5">
        <v>1964</v>
      </c>
      <c r="B1966" s="5" t="str">
        <f>"36412022010717220192404"</f>
        <v>36412022010717220192404</v>
      </c>
      <c r="C1966" s="5" t="s">
        <v>34</v>
      </c>
      <c r="D1966" s="5" t="str">
        <f>"冯小娇"</f>
        <v>冯小娇</v>
      </c>
      <c r="E1966" s="5" t="str">
        <f t="shared" si="204"/>
        <v>女</v>
      </c>
      <c r="F1966" s="5" t="str">
        <f t="shared" si="203"/>
        <v>汉族</v>
      </c>
    </row>
    <row r="1967" ht="30" customHeight="1" spans="1:6">
      <c r="A1967" s="5">
        <v>1965</v>
      </c>
      <c r="B1967" s="5" t="str">
        <f>"36412022010718051692484"</f>
        <v>36412022010718051692484</v>
      </c>
      <c r="C1967" s="5" t="s">
        <v>34</v>
      </c>
      <c r="D1967" s="5" t="str">
        <f>"陈敏"</f>
        <v>陈敏</v>
      </c>
      <c r="E1967" s="5" t="str">
        <f t="shared" si="204"/>
        <v>女</v>
      </c>
      <c r="F1967" s="5" t="str">
        <f t="shared" si="203"/>
        <v>汉族</v>
      </c>
    </row>
    <row r="1968" ht="30" customHeight="1" spans="1:6">
      <c r="A1968" s="5">
        <v>1966</v>
      </c>
      <c r="B1968" s="5" t="str">
        <f>"36412022010719364292655"</f>
        <v>36412022010719364292655</v>
      </c>
      <c r="C1968" s="5" t="s">
        <v>34</v>
      </c>
      <c r="D1968" s="5" t="str">
        <f>"王清丽"</f>
        <v>王清丽</v>
      </c>
      <c r="E1968" s="5" t="str">
        <f t="shared" si="204"/>
        <v>女</v>
      </c>
      <c r="F1968" s="5" t="str">
        <f t="shared" si="203"/>
        <v>汉族</v>
      </c>
    </row>
    <row r="1969" ht="30" customHeight="1" spans="1:6">
      <c r="A1969" s="5">
        <v>1967</v>
      </c>
      <c r="B1969" s="5" t="str">
        <f>"36412022010811261393299"</f>
        <v>36412022010811261393299</v>
      </c>
      <c r="C1969" s="5" t="s">
        <v>34</v>
      </c>
      <c r="D1969" s="5" t="str">
        <f>"符英梅"</f>
        <v>符英梅</v>
      </c>
      <c r="E1969" s="5" t="str">
        <f t="shared" si="204"/>
        <v>女</v>
      </c>
      <c r="F1969" s="5" t="str">
        <f t="shared" si="203"/>
        <v>汉族</v>
      </c>
    </row>
    <row r="1970" ht="30" customHeight="1" spans="1:6">
      <c r="A1970" s="5">
        <v>1968</v>
      </c>
      <c r="B1970" s="5" t="str">
        <f>"36412022010812135693360"</f>
        <v>36412022010812135693360</v>
      </c>
      <c r="C1970" s="5" t="s">
        <v>34</v>
      </c>
      <c r="D1970" s="5" t="str">
        <f>"周雯静"</f>
        <v>周雯静</v>
      </c>
      <c r="E1970" s="5" t="str">
        <f t="shared" si="204"/>
        <v>女</v>
      </c>
      <c r="F1970" s="5" t="str">
        <f t="shared" si="203"/>
        <v>汉族</v>
      </c>
    </row>
    <row r="1971" ht="30" customHeight="1" spans="1:6">
      <c r="A1971" s="5">
        <v>1969</v>
      </c>
      <c r="B1971" s="5" t="str">
        <f>"36412022010815492993661"</f>
        <v>36412022010815492993661</v>
      </c>
      <c r="C1971" s="5" t="s">
        <v>34</v>
      </c>
      <c r="D1971" s="5" t="str">
        <f>"罗秀南"</f>
        <v>罗秀南</v>
      </c>
      <c r="E1971" s="5" t="str">
        <f t="shared" si="204"/>
        <v>女</v>
      </c>
      <c r="F1971" s="5" t="str">
        <f t="shared" si="203"/>
        <v>汉族</v>
      </c>
    </row>
    <row r="1972" ht="30" customHeight="1" spans="1:6">
      <c r="A1972" s="5">
        <v>1970</v>
      </c>
      <c r="B1972" s="5" t="str">
        <f>"36412022010817080393788"</f>
        <v>36412022010817080393788</v>
      </c>
      <c r="C1972" s="5" t="s">
        <v>34</v>
      </c>
      <c r="D1972" s="5" t="str">
        <f>"符坤究"</f>
        <v>符坤究</v>
      </c>
      <c r="E1972" s="5" t="str">
        <f t="shared" si="204"/>
        <v>女</v>
      </c>
      <c r="F1972" s="5" t="str">
        <f t="shared" si="203"/>
        <v>汉族</v>
      </c>
    </row>
    <row r="1973" ht="30" customHeight="1" spans="1:6">
      <c r="A1973" s="5">
        <v>1971</v>
      </c>
      <c r="B1973" s="5" t="str">
        <f>"36412022010817494993864"</f>
        <v>36412022010817494993864</v>
      </c>
      <c r="C1973" s="5" t="s">
        <v>34</v>
      </c>
      <c r="D1973" s="5" t="str">
        <f>"陆国欣"</f>
        <v>陆国欣</v>
      </c>
      <c r="E1973" s="5" t="str">
        <f t="shared" si="204"/>
        <v>女</v>
      </c>
      <c r="F1973" s="5" t="str">
        <f t="shared" si="203"/>
        <v>汉族</v>
      </c>
    </row>
    <row r="1974" ht="30" customHeight="1" spans="1:6">
      <c r="A1974" s="5">
        <v>1972</v>
      </c>
      <c r="B1974" s="5" t="str">
        <f>"36412022010819340894024"</f>
        <v>36412022010819340894024</v>
      </c>
      <c r="C1974" s="5" t="s">
        <v>34</v>
      </c>
      <c r="D1974" s="5" t="str">
        <f>"刘易菲"</f>
        <v>刘易菲</v>
      </c>
      <c r="E1974" s="5" t="str">
        <f t="shared" si="204"/>
        <v>女</v>
      </c>
      <c r="F1974" s="5" t="str">
        <f t="shared" si="203"/>
        <v>汉族</v>
      </c>
    </row>
    <row r="1975" ht="30" customHeight="1" spans="1:6">
      <c r="A1975" s="5">
        <v>1973</v>
      </c>
      <c r="B1975" s="5" t="str">
        <f>"36412022010820120494094"</f>
        <v>36412022010820120494094</v>
      </c>
      <c r="C1975" s="5" t="s">
        <v>34</v>
      </c>
      <c r="D1975" s="5" t="str">
        <f>"卢生琳"</f>
        <v>卢生琳</v>
      </c>
      <c r="E1975" s="5" t="str">
        <f t="shared" si="204"/>
        <v>女</v>
      </c>
      <c r="F1975" s="5" t="str">
        <f t="shared" si="203"/>
        <v>汉族</v>
      </c>
    </row>
    <row r="1976" ht="30" customHeight="1" spans="1:6">
      <c r="A1976" s="5">
        <v>1974</v>
      </c>
      <c r="B1976" s="5" t="str">
        <f>"36412022010820354794143"</f>
        <v>36412022010820354794143</v>
      </c>
      <c r="C1976" s="5" t="s">
        <v>34</v>
      </c>
      <c r="D1976" s="5" t="str">
        <f>"饶敏"</f>
        <v>饶敏</v>
      </c>
      <c r="E1976" s="5" t="str">
        <f t="shared" si="204"/>
        <v>女</v>
      </c>
      <c r="F1976" s="5" t="str">
        <f t="shared" si="203"/>
        <v>汉族</v>
      </c>
    </row>
    <row r="1977" ht="30" customHeight="1" spans="1:6">
      <c r="A1977" s="5">
        <v>1975</v>
      </c>
      <c r="B1977" s="5" t="str">
        <f>"36412022010821390894279"</f>
        <v>36412022010821390894279</v>
      </c>
      <c r="C1977" s="5" t="s">
        <v>34</v>
      </c>
      <c r="D1977" s="5" t="str">
        <f>"符松雪"</f>
        <v>符松雪</v>
      </c>
      <c r="E1977" s="5" t="str">
        <f t="shared" si="204"/>
        <v>女</v>
      </c>
      <c r="F1977" s="5" t="str">
        <f>"苗族"</f>
        <v>苗族</v>
      </c>
    </row>
    <row r="1978" ht="30" customHeight="1" spans="1:6">
      <c r="A1978" s="5">
        <v>1976</v>
      </c>
      <c r="B1978" s="5" t="str">
        <f>"36412022010822470494410"</f>
        <v>36412022010822470494410</v>
      </c>
      <c r="C1978" s="5" t="s">
        <v>34</v>
      </c>
      <c r="D1978" s="5" t="str">
        <f>"吴小文"</f>
        <v>吴小文</v>
      </c>
      <c r="E1978" s="5" t="str">
        <f t="shared" si="204"/>
        <v>女</v>
      </c>
      <c r="F1978" s="5" t="str">
        <f t="shared" ref="F1978:F1983" si="205">"汉族"</f>
        <v>汉族</v>
      </c>
    </row>
    <row r="1979" ht="30" customHeight="1" spans="1:6">
      <c r="A1979" s="5">
        <v>1977</v>
      </c>
      <c r="B1979" s="5" t="str">
        <f>"36412022010823294794481"</f>
        <v>36412022010823294794481</v>
      </c>
      <c r="C1979" s="5" t="s">
        <v>34</v>
      </c>
      <c r="D1979" s="5" t="str">
        <f>"许蓝荻"</f>
        <v>许蓝荻</v>
      </c>
      <c r="E1979" s="5" t="str">
        <f t="shared" si="204"/>
        <v>女</v>
      </c>
      <c r="F1979" s="5" t="str">
        <f t="shared" si="205"/>
        <v>汉族</v>
      </c>
    </row>
    <row r="1980" ht="30" customHeight="1" spans="1:6">
      <c r="A1980" s="5">
        <v>1978</v>
      </c>
      <c r="B1980" s="5" t="str">
        <f>"36412022010900563694559"</f>
        <v>36412022010900563694559</v>
      </c>
      <c r="C1980" s="5" t="s">
        <v>34</v>
      </c>
      <c r="D1980" s="5" t="str">
        <f>"吴环琴"</f>
        <v>吴环琴</v>
      </c>
      <c r="E1980" s="5" t="str">
        <f t="shared" si="204"/>
        <v>女</v>
      </c>
      <c r="F1980" s="5" t="str">
        <f t="shared" si="205"/>
        <v>汉族</v>
      </c>
    </row>
    <row r="1981" ht="30" customHeight="1" spans="1:6">
      <c r="A1981" s="5">
        <v>1979</v>
      </c>
      <c r="B1981" s="5" t="str">
        <f>"36412022010910064594713"</f>
        <v>36412022010910064594713</v>
      </c>
      <c r="C1981" s="5" t="s">
        <v>34</v>
      </c>
      <c r="D1981" s="5" t="str">
        <f>"吴冠英"</f>
        <v>吴冠英</v>
      </c>
      <c r="E1981" s="5" t="str">
        <f t="shared" si="204"/>
        <v>女</v>
      </c>
      <c r="F1981" s="5" t="str">
        <f t="shared" si="205"/>
        <v>汉族</v>
      </c>
    </row>
    <row r="1982" ht="30" customHeight="1" spans="1:6">
      <c r="A1982" s="5">
        <v>1980</v>
      </c>
      <c r="B1982" s="5" t="str">
        <f>"36412022010910425494806"</f>
        <v>36412022010910425494806</v>
      </c>
      <c r="C1982" s="5" t="s">
        <v>34</v>
      </c>
      <c r="D1982" s="5" t="str">
        <f>"简金妹"</f>
        <v>简金妹</v>
      </c>
      <c r="E1982" s="5" t="str">
        <f t="shared" si="204"/>
        <v>女</v>
      </c>
      <c r="F1982" s="5" t="str">
        <f t="shared" si="205"/>
        <v>汉族</v>
      </c>
    </row>
    <row r="1983" ht="30" customHeight="1" spans="1:6">
      <c r="A1983" s="5">
        <v>1981</v>
      </c>
      <c r="B1983" s="5" t="str">
        <f>"36412022010910463194818"</f>
        <v>36412022010910463194818</v>
      </c>
      <c r="C1983" s="5" t="s">
        <v>34</v>
      </c>
      <c r="D1983" s="5" t="str">
        <f>"吴小婷"</f>
        <v>吴小婷</v>
      </c>
      <c r="E1983" s="5" t="str">
        <f t="shared" si="204"/>
        <v>女</v>
      </c>
      <c r="F1983" s="5" t="str">
        <f t="shared" si="205"/>
        <v>汉族</v>
      </c>
    </row>
    <row r="1984" ht="30" customHeight="1" spans="1:6">
      <c r="A1984" s="5">
        <v>1982</v>
      </c>
      <c r="B1984" s="5" t="str">
        <f>"36412022010910552594846"</f>
        <v>36412022010910552594846</v>
      </c>
      <c r="C1984" s="5" t="s">
        <v>34</v>
      </c>
      <c r="D1984" s="5" t="str">
        <f>"林岳丹"</f>
        <v>林岳丹</v>
      </c>
      <c r="E1984" s="5" t="str">
        <f t="shared" si="204"/>
        <v>女</v>
      </c>
      <c r="F1984" s="5" t="str">
        <f>"黎族"</f>
        <v>黎族</v>
      </c>
    </row>
    <row r="1985" ht="30" customHeight="1" spans="1:6">
      <c r="A1985" s="5">
        <v>1983</v>
      </c>
      <c r="B1985" s="5" t="str">
        <f>"36412022010912045095037"</f>
        <v>36412022010912045095037</v>
      </c>
      <c r="C1985" s="5" t="s">
        <v>34</v>
      </c>
      <c r="D1985" s="5" t="str">
        <f>"吴清雪"</f>
        <v>吴清雪</v>
      </c>
      <c r="E1985" s="5" t="str">
        <f t="shared" si="204"/>
        <v>女</v>
      </c>
      <c r="F1985" s="5" t="str">
        <f>"黎族"</f>
        <v>黎族</v>
      </c>
    </row>
    <row r="1986" ht="30" customHeight="1" spans="1:6">
      <c r="A1986" s="5">
        <v>1984</v>
      </c>
      <c r="B1986" s="5" t="str">
        <f>"36412022010912281195079"</f>
        <v>36412022010912281195079</v>
      </c>
      <c r="C1986" s="5" t="s">
        <v>34</v>
      </c>
      <c r="D1986" s="5" t="str">
        <f>"陈晓娜"</f>
        <v>陈晓娜</v>
      </c>
      <c r="E1986" s="5" t="str">
        <f t="shared" si="204"/>
        <v>女</v>
      </c>
      <c r="F1986" s="5" t="str">
        <f t="shared" ref="F1986:F1997" si="206">"汉族"</f>
        <v>汉族</v>
      </c>
    </row>
    <row r="1987" ht="30" customHeight="1" spans="1:6">
      <c r="A1987" s="5">
        <v>1985</v>
      </c>
      <c r="B1987" s="5" t="str">
        <f>"36412022010915161295417"</f>
        <v>36412022010915161295417</v>
      </c>
      <c r="C1987" s="5" t="s">
        <v>34</v>
      </c>
      <c r="D1987" s="5" t="str">
        <f>"符妹"</f>
        <v>符妹</v>
      </c>
      <c r="E1987" s="5" t="str">
        <f t="shared" si="204"/>
        <v>女</v>
      </c>
      <c r="F1987" s="5" t="str">
        <f t="shared" si="206"/>
        <v>汉族</v>
      </c>
    </row>
    <row r="1988" ht="30" customHeight="1" spans="1:6">
      <c r="A1988" s="5">
        <v>1986</v>
      </c>
      <c r="B1988" s="5" t="str">
        <f>"36412022010915193695426"</f>
        <v>36412022010915193695426</v>
      </c>
      <c r="C1988" s="5" t="s">
        <v>34</v>
      </c>
      <c r="D1988" s="5" t="str">
        <f>"唐壮玲"</f>
        <v>唐壮玲</v>
      </c>
      <c r="E1988" s="5" t="str">
        <f t="shared" si="204"/>
        <v>女</v>
      </c>
      <c r="F1988" s="5" t="str">
        <f t="shared" si="206"/>
        <v>汉族</v>
      </c>
    </row>
    <row r="1989" ht="30" customHeight="1" spans="1:6">
      <c r="A1989" s="5">
        <v>1987</v>
      </c>
      <c r="B1989" s="5" t="str">
        <f>"36412022010915261495444"</f>
        <v>36412022010915261495444</v>
      </c>
      <c r="C1989" s="5" t="s">
        <v>34</v>
      </c>
      <c r="D1989" s="5" t="str">
        <f>"符小丹"</f>
        <v>符小丹</v>
      </c>
      <c r="E1989" s="5" t="str">
        <f t="shared" si="204"/>
        <v>女</v>
      </c>
      <c r="F1989" s="5" t="str">
        <f t="shared" si="206"/>
        <v>汉族</v>
      </c>
    </row>
    <row r="1990" ht="30" customHeight="1" spans="1:6">
      <c r="A1990" s="5">
        <v>1988</v>
      </c>
      <c r="B1990" s="5" t="str">
        <f>"36412022010917291495688"</f>
        <v>36412022010917291495688</v>
      </c>
      <c r="C1990" s="5" t="s">
        <v>34</v>
      </c>
      <c r="D1990" s="5" t="str">
        <f>"符晓丹"</f>
        <v>符晓丹</v>
      </c>
      <c r="E1990" s="5" t="str">
        <f t="shared" si="204"/>
        <v>女</v>
      </c>
      <c r="F1990" s="5" t="str">
        <f t="shared" si="206"/>
        <v>汉族</v>
      </c>
    </row>
    <row r="1991" ht="30" customHeight="1" spans="1:6">
      <c r="A1991" s="5">
        <v>1989</v>
      </c>
      <c r="B1991" s="5" t="str">
        <f>"36412022010918061895719"</f>
        <v>36412022010918061895719</v>
      </c>
      <c r="C1991" s="5" t="s">
        <v>34</v>
      </c>
      <c r="D1991" s="5" t="str">
        <f>"蓝日梅"</f>
        <v>蓝日梅</v>
      </c>
      <c r="E1991" s="5" t="str">
        <f t="shared" si="204"/>
        <v>女</v>
      </c>
      <c r="F1991" s="5" t="str">
        <f t="shared" si="206"/>
        <v>汉族</v>
      </c>
    </row>
    <row r="1992" ht="30" customHeight="1" spans="1:6">
      <c r="A1992" s="5">
        <v>1990</v>
      </c>
      <c r="B1992" s="5" t="str">
        <f>"36412022010918125095726"</f>
        <v>36412022010918125095726</v>
      </c>
      <c r="C1992" s="5" t="s">
        <v>34</v>
      </c>
      <c r="D1992" s="5" t="str">
        <f>"黄晓虹"</f>
        <v>黄晓虹</v>
      </c>
      <c r="E1992" s="5" t="str">
        <f t="shared" si="204"/>
        <v>女</v>
      </c>
      <c r="F1992" s="5" t="str">
        <f t="shared" si="206"/>
        <v>汉族</v>
      </c>
    </row>
    <row r="1993" ht="30" customHeight="1" spans="1:6">
      <c r="A1993" s="5">
        <v>1991</v>
      </c>
      <c r="B1993" s="5" t="str">
        <f>"36412022010918163895733"</f>
        <v>36412022010918163895733</v>
      </c>
      <c r="C1993" s="5" t="s">
        <v>34</v>
      </c>
      <c r="D1993" s="5" t="str">
        <f>"周婷"</f>
        <v>周婷</v>
      </c>
      <c r="E1993" s="5" t="str">
        <f t="shared" si="204"/>
        <v>女</v>
      </c>
      <c r="F1993" s="5" t="str">
        <f t="shared" si="206"/>
        <v>汉族</v>
      </c>
    </row>
    <row r="1994" ht="30" customHeight="1" spans="1:6">
      <c r="A1994" s="5">
        <v>1992</v>
      </c>
      <c r="B1994" s="5" t="str">
        <f>"36412022010919081495787"</f>
        <v>36412022010919081495787</v>
      </c>
      <c r="C1994" s="5" t="s">
        <v>34</v>
      </c>
      <c r="D1994" s="5" t="str">
        <f>"李雪华"</f>
        <v>李雪华</v>
      </c>
      <c r="E1994" s="5" t="str">
        <f t="shared" si="204"/>
        <v>女</v>
      </c>
      <c r="F1994" s="5" t="str">
        <f t="shared" si="206"/>
        <v>汉族</v>
      </c>
    </row>
    <row r="1995" ht="30" customHeight="1" spans="1:6">
      <c r="A1995" s="5">
        <v>1993</v>
      </c>
      <c r="B1995" s="5" t="str">
        <f>"36412022010920070295870"</f>
        <v>36412022010920070295870</v>
      </c>
      <c r="C1995" s="5" t="s">
        <v>34</v>
      </c>
      <c r="D1995" s="5" t="str">
        <f>"陈晓凡"</f>
        <v>陈晓凡</v>
      </c>
      <c r="E1995" s="5" t="str">
        <f t="shared" si="204"/>
        <v>女</v>
      </c>
      <c r="F1995" s="5" t="str">
        <f t="shared" si="206"/>
        <v>汉族</v>
      </c>
    </row>
    <row r="1996" ht="30" customHeight="1" spans="1:6">
      <c r="A1996" s="5">
        <v>1994</v>
      </c>
      <c r="B1996" s="5" t="str">
        <f>"36412022010921134695992"</f>
        <v>36412022010921134695992</v>
      </c>
      <c r="C1996" s="5" t="s">
        <v>34</v>
      </c>
      <c r="D1996" s="5" t="str">
        <f>"何潮潮   "</f>
        <v>何潮潮   </v>
      </c>
      <c r="E1996" s="5" t="str">
        <f t="shared" si="204"/>
        <v>女</v>
      </c>
      <c r="F1996" s="5" t="str">
        <f t="shared" si="206"/>
        <v>汉族</v>
      </c>
    </row>
    <row r="1997" ht="30" customHeight="1" spans="1:6">
      <c r="A1997" s="5">
        <v>1995</v>
      </c>
      <c r="B1997" s="5" t="str">
        <f>"36412022010921144095994"</f>
        <v>36412022010921144095994</v>
      </c>
      <c r="C1997" s="5" t="s">
        <v>34</v>
      </c>
      <c r="D1997" s="5" t="str">
        <f>"陈青联"</f>
        <v>陈青联</v>
      </c>
      <c r="E1997" s="5" t="str">
        <f t="shared" si="204"/>
        <v>女</v>
      </c>
      <c r="F1997" s="5" t="str">
        <f t="shared" si="206"/>
        <v>汉族</v>
      </c>
    </row>
    <row r="1998" ht="30" customHeight="1" spans="1:6">
      <c r="A1998" s="5">
        <v>1996</v>
      </c>
      <c r="B1998" s="5" t="str">
        <f>"36412022010921242096003"</f>
        <v>36412022010921242096003</v>
      </c>
      <c r="C1998" s="5" t="s">
        <v>34</v>
      </c>
      <c r="D1998" s="5" t="str">
        <f>"唐丽敏"</f>
        <v>唐丽敏</v>
      </c>
      <c r="E1998" s="5" t="str">
        <f t="shared" si="204"/>
        <v>女</v>
      </c>
      <c r="F1998" s="5" t="str">
        <f>"黎族"</f>
        <v>黎族</v>
      </c>
    </row>
    <row r="1999" ht="30" customHeight="1" spans="1:6">
      <c r="A1999" s="5">
        <v>1997</v>
      </c>
      <c r="B1999" s="5" t="str">
        <f>"36412022010921462296057"</f>
        <v>36412022010921462296057</v>
      </c>
      <c r="C1999" s="5" t="s">
        <v>34</v>
      </c>
      <c r="D1999" s="5" t="str">
        <f>"吴李莲"</f>
        <v>吴李莲</v>
      </c>
      <c r="E1999" s="5" t="str">
        <f t="shared" si="204"/>
        <v>女</v>
      </c>
      <c r="F1999" s="5" t="str">
        <f t="shared" ref="F1999:F2022" si="207">"汉族"</f>
        <v>汉族</v>
      </c>
    </row>
    <row r="2000" ht="30" customHeight="1" spans="1:6">
      <c r="A2000" s="5">
        <v>1998</v>
      </c>
      <c r="B2000" s="5" t="str">
        <f>"36412022010921523596065"</f>
        <v>36412022010921523596065</v>
      </c>
      <c r="C2000" s="5" t="s">
        <v>34</v>
      </c>
      <c r="D2000" s="5" t="str">
        <f>"李蓓"</f>
        <v>李蓓</v>
      </c>
      <c r="E2000" s="5" t="str">
        <f t="shared" si="204"/>
        <v>女</v>
      </c>
      <c r="F2000" s="5" t="str">
        <f t="shared" si="207"/>
        <v>汉族</v>
      </c>
    </row>
    <row r="2001" ht="30" customHeight="1" spans="1:6">
      <c r="A2001" s="5">
        <v>1999</v>
      </c>
      <c r="B2001" s="5" t="str">
        <f>"36412022010922242596130"</f>
        <v>36412022010922242596130</v>
      </c>
      <c r="C2001" s="5" t="s">
        <v>34</v>
      </c>
      <c r="D2001" s="5" t="str">
        <f>"张亚金"</f>
        <v>张亚金</v>
      </c>
      <c r="E2001" s="5" t="str">
        <f t="shared" si="204"/>
        <v>女</v>
      </c>
      <c r="F2001" s="5" t="str">
        <f t="shared" si="207"/>
        <v>汉族</v>
      </c>
    </row>
    <row r="2002" ht="30" customHeight="1" spans="1:6">
      <c r="A2002" s="5">
        <v>2000</v>
      </c>
      <c r="B2002" s="5" t="str">
        <f>"36412022010922385696160"</f>
        <v>36412022010922385696160</v>
      </c>
      <c r="C2002" s="5" t="s">
        <v>34</v>
      </c>
      <c r="D2002" s="5" t="str">
        <f>"吕金龙"</f>
        <v>吕金龙</v>
      </c>
      <c r="E2002" s="5" t="str">
        <f>"男"</f>
        <v>男</v>
      </c>
      <c r="F2002" s="5" t="str">
        <f t="shared" si="207"/>
        <v>汉族</v>
      </c>
    </row>
    <row r="2003" ht="30" customHeight="1" spans="1:6">
      <c r="A2003" s="5">
        <v>2001</v>
      </c>
      <c r="B2003" s="5" t="str">
        <f>"36412022010922395296162"</f>
        <v>36412022010922395296162</v>
      </c>
      <c r="C2003" s="5" t="s">
        <v>34</v>
      </c>
      <c r="D2003" s="5" t="str">
        <f>"陈春来"</f>
        <v>陈春来</v>
      </c>
      <c r="E2003" s="5" t="str">
        <f t="shared" ref="E2003:E2026" si="208">"女"</f>
        <v>女</v>
      </c>
      <c r="F2003" s="5" t="str">
        <f t="shared" si="207"/>
        <v>汉族</v>
      </c>
    </row>
    <row r="2004" ht="30" customHeight="1" spans="1:6">
      <c r="A2004" s="5">
        <v>2002</v>
      </c>
      <c r="B2004" s="5" t="str">
        <f>"36412022010922424496165"</f>
        <v>36412022010922424496165</v>
      </c>
      <c r="C2004" s="5" t="s">
        <v>34</v>
      </c>
      <c r="D2004" s="5" t="str">
        <f>"何那女"</f>
        <v>何那女</v>
      </c>
      <c r="E2004" s="5" t="str">
        <f t="shared" si="208"/>
        <v>女</v>
      </c>
      <c r="F2004" s="5" t="str">
        <f t="shared" si="207"/>
        <v>汉族</v>
      </c>
    </row>
    <row r="2005" ht="30" customHeight="1" spans="1:6">
      <c r="A2005" s="5">
        <v>2003</v>
      </c>
      <c r="B2005" s="5" t="str">
        <f>"36412022010922474096171"</f>
        <v>36412022010922474096171</v>
      </c>
      <c r="C2005" s="5" t="s">
        <v>34</v>
      </c>
      <c r="D2005" s="5" t="str">
        <f>"符文群"</f>
        <v>符文群</v>
      </c>
      <c r="E2005" s="5" t="str">
        <f t="shared" si="208"/>
        <v>女</v>
      </c>
      <c r="F2005" s="5" t="str">
        <f t="shared" si="207"/>
        <v>汉族</v>
      </c>
    </row>
    <row r="2006" ht="30" customHeight="1" spans="1:6">
      <c r="A2006" s="5">
        <v>2004</v>
      </c>
      <c r="B2006" s="5" t="str">
        <f>"36412022010923111496195"</f>
        <v>36412022010923111496195</v>
      </c>
      <c r="C2006" s="5" t="s">
        <v>34</v>
      </c>
      <c r="D2006" s="5" t="str">
        <f>"郑顺花"</f>
        <v>郑顺花</v>
      </c>
      <c r="E2006" s="5" t="str">
        <f t="shared" si="208"/>
        <v>女</v>
      </c>
      <c r="F2006" s="5" t="str">
        <f t="shared" si="207"/>
        <v>汉族</v>
      </c>
    </row>
    <row r="2007" ht="30" customHeight="1" spans="1:6">
      <c r="A2007" s="5">
        <v>2005</v>
      </c>
      <c r="B2007" s="5" t="str">
        <f>"36412022010923353996228"</f>
        <v>36412022010923353996228</v>
      </c>
      <c r="C2007" s="5" t="s">
        <v>34</v>
      </c>
      <c r="D2007" s="5" t="str">
        <f>"翁美玉"</f>
        <v>翁美玉</v>
      </c>
      <c r="E2007" s="5" t="str">
        <f t="shared" si="208"/>
        <v>女</v>
      </c>
      <c r="F2007" s="5" t="str">
        <f t="shared" si="207"/>
        <v>汉族</v>
      </c>
    </row>
    <row r="2008" ht="30" customHeight="1" spans="1:6">
      <c r="A2008" s="5">
        <v>2006</v>
      </c>
      <c r="B2008" s="5" t="str">
        <f>"36412022010923521996245"</f>
        <v>36412022010923521996245</v>
      </c>
      <c r="C2008" s="5" t="s">
        <v>34</v>
      </c>
      <c r="D2008" s="5" t="str">
        <f>"唐秋丹"</f>
        <v>唐秋丹</v>
      </c>
      <c r="E2008" s="5" t="str">
        <f t="shared" si="208"/>
        <v>女</v>
      </c>
      <c r="F2008" s="5" t="str">
        <f t="shared" si="207"/>
        <v>汉族</v>
      </c>
    </row>
    <row r="2009" ht="30" customHeight="1" spans="1:6">
      <c r="A2009" s="5">
        <v>2007</v>
      </c>
      <c r="B2009" s="5" t="str">
        <f>"36412022011002192896295"</f>
        <v>36412022011002192896295</v>
      </c>
      <c r="C2009" s="5" t="s">
        <v>34</v>
      </c>
      <c r="D2009" s="5" t="str">
        <f>"韩燕冰"</f>
        <v>韩燕冰</v>
      </c>
      <c r="E2009" s="5" t="str">
        <f t="shared" si="208"/>
        <v>女</v>
      </c>
      <c r="F2009" s="5" t="str">
        <f t="shared" si="207"/>
        <v>汉族</v>
      </c>
    </row>
    <row r="2010" ht="30" customHeight="1" spans="1:6">
      <c r="A2010" s="5">
        <v>2008</v>
      </c>
      <c r="B2010" s="5" t="str">
        <f>"36412022011007412596319"</f>
        <v>36412022011007412596319</v>
      </c>
      <c r="C2010" s="5" t="s">
        <v>34</v>
      </c>
      <c r="D2010" s="5" t="str">
        <f>"吴剑玲"</f>
        <v>吴剑玲</v>
      </c>
      <c r="E2010" s="5" t="str">
        <f t="shared" si="208"/>
        <v>女</v>
      </c>
      <c r="F2010" s="5" t="str">
        <f t="shared" si="207"/>
        <v>汉族</v>
      </c>
    </row>
    <row r="2011" ht="30" customHeight="1" spans="1:6">
      <c r="A2011" s="5">
        <v>2009</v>
      </c>
      <c r="B2011" s="5" t="str">
        <f>"36412022011009091096435"</f>
        <v>36412022011009091096435</v>
      </c>
      <c r="C2011" s="5" t="s">
        <v>34</v>
      </c>
      <c r="D2011" s="5" t="str">
        <f>"苏桂英"</f>
        <v>苏桂英</v>
      </c>
      <c r="E2011" s="5" t="str">
        <f t="shared" si="208"/>
        <v>女</v>
      </c>
      <c r="F2011" s="5" t="str">
        <f t="shared" si="207"/>
        <v>汉族</v>
      </c>
    </row>
    <row r="2012" ht="30" customHeight="1" spans="1:6">
      <c r="A2012" s="5">
        <v>2010</v>
      </c>
      <c r="B2012" s="5" t="str">
        <f>"36412022011009251796478"</f>
        <v>36412022011009251796478</v>
      </c>
      <c r="C2012" s="5" t="s">
        <v>34</v>
      </c>
      <c r="D2012" s="5" t="str">
        <f>"张汉娇"</f>
        <v>张汉娇</v>
      </c>
      <c r="E2012" s="5" t="str">
        <f t="shared" si="208"/>
        <v>女</v>
      </c>
      <c r="F2012" s="5" t="str">
        <f t="shared" si="207"/>
        <v>汉族</v>
      </c>
    </row>
    <row r="2013" ht="30" customHeight="1" spans="1:6">
      <c r="A2013" s="5">
        <v>2011</v>
      </c>
      <c r="B2013" s="5" t="str">
        <f>"36412022011009322596493"</f>
        <v>36412022011009322596493</v>
      </c>
      <c r="C2013" s="5" t="s">
        <v>34</v>
      </c>
      <c r="D2013" s="5" t="str">
        <f>"王琇桦"</f>
        <v>王琇桦</v>
      </c>
      <c r="E2013" s="5" t="str">
        <f t="shared" si="208"/>
        <v>女</v>
      </c>
      <c r="F2013" s="5" t="str">
        <f t="shared" si="207"/>
        <v>汉族</v>
      </c>
    </row>
    <row r="2014" ht="30" customHeight="1" spans="1:6">
      <c r="A2014" s="5">
        <v>2012</v>
      </c>
      <c r="B2014" s="5" t="str">
        <f>"36412022011010014796597"</f>
        <v>36412022011010014796597</v>
      </c>
      <c r="C2014" s="5" t="s">
        <v>34</v>
      </c>
      <c r="D2014" s="5" t="str">
        <f>"林桂琴"</f>
        <v>林桂琴</v>
      </c>
      <c r="E2014" s="5" t="str">
        <f t="shared" si="208"/>
        <v>女</v>
      </c>
      <c r="F2014" s="5" t="str">
        <f t="shared" si="207"/>
        <v>汉族</v>
      </c>
    </row>
    <row r="2015" ht="30" customHeight="1" spans="1:6">
      <c r="A2015" s="5">
        <v>2013</v>
      </c>
      <c r="B2015" s="5" t="str">
        <f>"36412022011010072196617"</f>
        <v>36412022011010072196617</v>
      </c>
      <c r="C2015" s="5" t="s">
        <v>34</v>
      </c>
      <c r="D2015" s="5" t="str">
        <f>"羊代菊"</f>
        <v>羊代菊</v>
      </c>
      <c r="E2015" s="5" t="str">
        <f t="shared" si="208"/>
        <v>女</v>
      </c>
      <c r="F2015" s="5" t="str">
        <f t="shared" si="207"/>
        <v>汉族</v>
      </c>
    </row>
    <row r="2016" ht="30" customHeight="1" spans="1:6">
      <c r="A2016" s="5">
        <v>2014</v>
      </c>
      <c r="B2016" s="5" t="str">
        <f>"36412022011010221496661"</f>
        <v>36412022011010221496661</v>
      </c>
      <c r="C2016" s="5" t="s">
        <v>34</v>
      </c>
      <c r="D2016" s="5" t="str">
        <f>"方小芳"</f>
        <v>方小芳</v>
      </c>
      <c r="E2016" s="5" t="str">
        <f t="shared" si="208"/>
        <v>女</v>
      </c>
      <c r="F2016" s="5" t="str">
        <f t="shared" si="207"/>
        <v>汉族</v>
      </c>
    </row>
    <row r="2017" ht="30" customHeight="1" spans="1:6">
      <c r="A2017" s="5">
        <v>2015</v>
      </c>
      <c r="B2017" s="5" t="str">
        <f>"36412022011010270496677"</f>
        <v>36412022011010270496677</v>
      </c>
      <c r="C2017" s="5" t="s">
        <v>34</v>
      </c>
      <c r="D2017" s="5" t="str">
        <f>"苏紫菲"</f>
        <v>苏紫菲</v>
      </c>
      <c r="E2017" s="5" t="str">
        <f t="shared" si="208"/>
        <v>女</v>
      </c>
      <c r="F2017" s="5" t="str">
        <f t="shared" si="207"/>
        <v>汉族</v>
      </c>
    </row>
    <row r="2018" ht="30" customHeight="1" spans="1:6">
      <c r="A2018" s="5">
        <v>2016</v>
      </c>
      <c r="B2018" s="5" t="str">
        <f>"36412022011010301396688"</f>
        <v>36412022011010301396688</v>
      </c>
      <c r="C2018" s="5" t="s">
        <v>34</v>
      </c>
      <c r="D2018" s="5" t="str">
        <f>"翁娇丽"</f>
        <v>翁娇丽</v>
      </c>
      <c r="E2018" s="5" t="str">
        <f t="shared" si="208"/>
        <v>女</v>
      </c>
      <c r="F2018" s="5" t="str">
        <f t="shared" si="207"/>
        <v>汉族</v>
      </c>
    </row>
    <row r="2019" ht="30" customHeight="1" spans="1:6">
      <c r="A2019" s="5">
        <v>2017</v>
      </c>
      <c r="B2019" s="5" t="str">
        <f>"36412022011010472996743"</f>
        <v>36412022011010472996743</v>
      </c>
      <c r="C2019" s="5" t="s">
        <v>34</v>
      </c>
      <c r="D2019" s="5" t="str">
        <f>"邝琼容"</f>
        <v>邝琼容</v>
      </c>
      <c r="E2019" s="5" t="str">
        <f t="shared" si="208"/>
        <v>女</v>
      </c>
      <c r="F2019" s="5" t="str">
        <f t="shared" si="207"/>
        <v>汉族</v>
      </c>
    </row>
    <row r="2020" ht="30" customHeight="1" spans="1:6">
      <c r="A2020" s="5">
        <v>2018</v>
      </c>
      <c r="B2020" s="5" t="str">
        <f>"36412022011011135396840"</f>
        <v>36412022011011135396840</v>
      </c>
      <c r="C2020" s="5" t="s">
        <v>34</v>
      </c>
      <c r="D2020" s="5" t="str">
        <f>"高瑜媚"</f>
        <v>高瑜媚</v>
      </c>
      <c r="E2020" s="5" t="str">
        <f t="shared" si="208"/>
        <v>女</v>
      </c>
      <c r="F2020" s="5" t="str">
        <f t="shared" si="207"/>
        <v>汉族</v>
      </c>
    </row>
    <row r="2021" ht="30" customHeight="1" spans="1:6">
      <c r="A2021" s="5">
        <v>2019</v>
      </c>
      <c r="B2021" s="5" t="str">
        <f>"36412022011011340896902"</f>
        <v>36412022011011340896902</v>
      </c>
      <c r="C2021" s="5" t="s">
        <v>34</v>
      </c>
      <c r="D2021" s="5" t="str">
        <f>"符艳艳"</f>
        <v>符艳艳</v>
      </c>
      <c r="E2021" s="5" t="str">
        <f t="shared" si="208"/>
        <v>女</v>
      </c>
      <c r="F2021" s="5" t="str">
        <f t="shared" si="207"/>
        <v>汉族</v>
      </c>
    </row>
    <row r="2022" ht="30" customHeight="1" spans="1:6">
      <c r="A2022" s="5">
        <v>2020</v>
      </c>
      <c r="B2022" s="5" t="str">
        <f>"36412022011011461196941"</f>
        <v>36412022011011461196941</v>
      </c>
      <c r="C2022" s="5" t="s">
        <v>34</v>
      </c>
      <c r="D2022" s="5" t="str">
        <f>"张沐淋"</f>
        <v>张沐淋</v>
      </c>
      <c r="E2022" s="5" t="str">
        <f t="shared" si="208"/>
        <v>女</v>
      </c>
      <c r="F2022" s="5" t="str">
        <f t="shared" si="207"/>
        <v>汉族</v>
      </c>
    </row>
    <row r="2023" ht="30" customHeight="1" spans="1:6">
      <c r="A2023" s="5">
        <v>2021</v>
      </c>
      <c r="B2023" s="5" t="str">
        <f>"36412021123109352969789"</f>
        <v>36412021123109352969789</v>
      </c>
      <c r="C2023" s="5" t="s">
        <v>35</v>
      </c>
      <c r="D2023" s="5" t="str">
        <f>"符珑晶"</f>
        <v>符珑晶</v>
      </c>
      <c r="E2023" s="5" t="str">
        <f t="shared" si="208"/>
        <v>女</v>
      </c>
      <c r="F2023" s="5" t="str">
        <f>"黎族"</f>
        <v>黎族</v>
      </c>
    </row>
    <row r="2024" ht="30" customHeight="1" spans="1:6">
      <c r="A2024" s="5">
        <v>2022</v>
      </c>
      <c r="B2024" s="5" t="str">
        <f>"36412021123109431769823"</f>
        <v>36412021123109431769823</v>
      </c>
      <c r="C2024" s="5" t="s">
        <v>35</v>
      </c>
      <c r="D2024" s="5" t="str">
        <f>"陈仙养"</f>
        <v>陈仙养</v>
      </c>
      <c r="E2024" s="5" t="str">
        <f t="shared" si="208"/>
        <v>女</v>
      </c>
      <c r="F2024" s="5" t="str">
        <f>"汉族"</f>
        <v>汉族</v>
      </c>
    </row>
    <row r="2025" ht="30" customHeight="1" spans="1:6">
      <c r="A2025" s="5">
        <v>2023</v>
      </c>
      <c r="B2025" s="5" t="str">
        <f>"36412021123109484669848"</f>
        <v>36412021123109484669848</v>
      </c>
      <c r="C2025" s="5" t="s">
        <v>35</v>
      </c>
      <c r="D2025" s="5" t="str">
        <f>"张其菊"</f>
        <v>张其菊</v>
      </c>
      <c r="E2025" s="5" t="str">
        <f t="shared" si="208"/>
        <v>女</v>
      </c>
      <c r="F2025" s="5" t="str">
        <f>"汉族"</f>
        <v>汉族</v>
      </c>
    </row>
    <row r="2026" ht="30" customHeight="1" spans="1:6">
      <c r="A2026" s="5">
        <v>2024</v>
      </c>
      <c r="B2026" s="5" t="str">
        <f>"36412021123109513169853"</f>
        <v>36412021123109513169853</v>
      </c>
      <c r="C2026" s="5" t="s">
        <v>35</v>
      </c>
      <c r="D2026" s="5" t="str">
        <f>"王婉媛"</f>
        <v>王婉媛</v>
      </c>
      <c r="E2026" s="5" t="str">
        <f t="shared" si="208"/>
        <v>女</v>
      </c>
      <c r="F2026" s="5" t="str">
        <f>"黎族"</f>
        <v>黎族</v>
      </c>
    </row>
    <row r="2027" ht="30" customHeight="1" spans="1:6">
      <c r="A2027" s="5">
        <v>2025</v>
      </c>
      <c r="B2027" s="5" t="str">
        <f>"36412021123109545569875"</f>
        <v>36412021123109545569875</v>
      </c>
      <c r="C2027" s="5" t="s">
        <v>35</v>
      </c>
      <c r="D2027" s="5" t="str">
        <f>"唐传"</f>
        <v>唐传</v>
      </c>
      <c r="E2027" s="5" t="str">
        <f>"男"</f>
        <v>男</v>
      </c>
      <c r="F2027" s="5" t="str">
        <f t="shared" ref="F2027:F2037" si="209">"汉族"</f>
        <v>汉族</v>
      </c>
    </row>
    <row r="2028" ht="30" customHeight="1" spans="1:6">
      <c r="A2028" s="5">
        <v>2026</v>
      </c>
      <c r="B2028" s="5" t="str">
        <f>"36412021123109572469886"</f>
        <v>36412021123109572469886</v>
      </c>
      <c r="C2028" s="5" t="s">
        <v>35</v>
      </c>
      <c r="D2028" s="5" t="str">
        <f>"余建翠"</f>
        <v>余建翠</v>
      </c>
      <c r="E2028" s="5" t="str">
        <f>"女"</f>
        <v>女</v>
      </c>
      <c r="F2028" s="5" t="str">
        <f t="shared" si="209"/>
        <v>汉族</v>
      </c>
    </row>
    <row r="2029" ht="30" customHeight="1" spans="1:6">
      <c r="A2029" s="5">
        <v>2027</v>
      </c>
      <c r="B2029" s="5" t="str">
        <f>"36412021123110010369903"</f>
        <v>36412021123110010369903</v>
      </c>
      <c r="C2029" s="5" t="s">
        <v>35</v>
      </c>
      <c r="D2029" s="5" t="str">
        <f>"韩恋"</f>
        <v>韩恋</v>
      </c>
      <c r="E2029" s="5" t="str">
        <f>"女"</f>
        <v>女</v>
      </c>
      <c r="F2029" s="5" t="str">
        <f t="shared" si="209"/>
        <v>汉族</v>
      </c>
    </row>
    <row r="2030" ht="30" customHeight="1" spans="1:6">
      <c r="A2030" s="5">
        <v>2028</v>
      </c>
      <c r="B2030" s="5" t="str">
        <f>"36412021123110012469907"</f>
        <v>36412021123110012469907</v>
      </c>
      <c r="C2030" s="5" t="s">
        <v>35</v>
      </c>
      <c r="D2030" s="5" t="str">
        <f>"苏文强"</f>
        <v>苏文强</v>
      </c>
      <c r="E2030" s="5" t="str">
        <f>"男"</f>
        <v>男</v>
      </c>
      <c r="F2030" s="5" t="str">
        <f t="shared" si="209"/>
        <v>汉族</v>
      </c>
    </row>
    <row r="2031" ht="30" customHeight="1" spans="1:6">
      <c r="A2031" s="5">
        <v>2029</v>
      </c>
      <c r="B2031" s="5" t="str">
        <f>"36412021123110424370112"</f>
        <v>36412021123110424370112</v>
      </c>
      <c r="C2031" s="5" t="s">
        <v>35</v>
      </c>
      <c r="D2031" s="5" t="str">
        <f>"肖佳佳"</f>
        <v>肖佳佳</v>
      </c>
      <c r="E2031" s="5" t="str">
        <f t="shared" ref="E2031:E2048" si="210">"女"</f>
        <v>女</v>
      </c>
      <c r="F2031" s="5" t="str">
        <f t="shared" si="209"/>
        <v>汉族</v>
      </c>
    </row>
    <row r="2032" ht="30" customHeight="1" spans="1:6">
      <c r="A2032" s="5">
        <v>2030</v>
      </c>
      <c r="B2032" s="5" t="str">
        <f>"36412021123110460070129"</f>
        <v>36412021123110460070129</v>
      </c>
      <c r="C2032" s="5" t="s">
        <v>35</v>
      </c>
      <c r="D2032" s="5" t="str">
        <f>"张华丽"</f>
        <v>张华丽</v>
      </c>
      <c r="E2032" s="5" t="str">
        <f t="shared" si="210"/>
        <v>女</v>
      </c>
      <c r="F2032" s="5" t="str">
        <f t="shared" si="209"/>
        <v>汉族</v>
      </c>
    </row>
    <row r="2033" ht="30" customHeight="1" spans="1:6">
      <c r="A2033" s="5">
        <v>2031</v>
      </c>
      <c r="B2033" s="5" t="str">
        <f>"36412021123110561470174"</f>
        <v>36412021123110561470174</v>
      </c>
      <c r="C2033" s="5" t="s">
        <v>35</v>
      </c>
      <c r="D2033" s="5" t="str">
        <f>"郑婷"</f>
        <v>郑婷</v>
      </c>
      <c r="E2033" s="5" t="str">
        <f t="shared" si="210"/>
        <v>女</v>
      </c>
      <c r="F2033" s="5" t="str">
        <f t="shared" si="209"/>
        <v>汉族</v>
      </c>
    </row>
    <row r="2034" ht="30" customHeight="1" spans="1:6">
      <c r="A2034" s="5">
        <v>2032</v>
      </c>
      <c r="B2034" s="5" t="str">
        <f>"36412021123111115770242"</f>
        <v>36412021123111115770242</v>
      </c>
      <c r="C2034" s="5" t="s">
        <v>35</v>
      </c>
      <c r="D2034" s="5" t="str">
        <f>"苏怡"</f>
        <v>苏怡</v>
      </c>
      <c r="E2034" s="5" t="str">
        <f t="shared" si="210"/>
        <v>女</v>
      </c>
      <c r="F2034" s="5" t="str">
        <f t="shared" si="209"/>
        <v>汉族</v>
      </c>
    </row>
    <row r="2035" ht="30" customHeight="1" spans="1:6">
      <c r="A2035" s="5">
        <v>2033</v>
      </c>
      <c r="B2035" s="5" t="str">
        <f>"36412021123111464370368"</f>
        <v>36412021123111464370368</v>
      </c>
      <c r="C2035" s="5" t="s">
        <v>35</v>
      </c>
      <c r="D2035" s="5" t="str">
        <f>"夏志洁"</f>
        <v>夏志洁</v>
      </c>
      <c r="E2035" s="5" t="str">
        <f t="shared" si="210"/>
        <v>女</v>
      </c>
      <c r="F2035" s="5" t="str">
        <f t="shared" si="209"/>
        <v>汉族</v>
      </c>
    </row>
    <row r="2036" ht="30" customHeight="1" spans="1:6">
      <c r="A2036" s="5">
        <v>2034</v>
      </c>
      <c r="B2036" s="5" t="str">
        <f>"36412021123111550570395"</f>
        <v>36412021123111550570395</v>
      </c>
      <c r="C2036" s="5" t="s">
        <v>35</v>
      </c>
      <c r="D2036" s="5" t="str">
        <f>"陈楚楚"</f>
        <v>陈楚楚</v>
      </c>
      <c r="E2036" s="5" t="str">
        <f t="shared" si="210"/>
        <v>女</v>
      </c>
      <c r="F2036" s="5" t="str">
        <f t="shared" si="209"/>
        <v>汉族</v>
      </c>
    </row>
    <row r="2037" ht="30" customHeight="1" spans="1:6">
      <c r="A2037" s="5">
        <v>2035</v>
      </c>
      <c r="B2037" s="5" t="str">
        <f>"36412021123112255970449"</f>
        <v>36412021123112255970449</v>
      </c>
      <c r="C2037" s="5" t="s">
        <v>35</v>
      </c>
      <c r="D2037" s="5" t="str">
        <f>"符芷芸"</f>
        <v>符芷芸</v>
      </c>
      <c r="E2037" s="5" t="str">
        <f t="shared" si="210"/>
        <v>女</v>
      </c>
      <c r="F2037" s="5" t="str">
        <f t="shared" si="209"/>
        <v>汉族</v>
      </c>
    </row>
    <row r="2038" ht="30" customHeight="1" spans="1:6">
      <c r="A2038" s="5">
        <v>2036</v>
      </c>
      <c r="B2038" s="5" t="str">
        <f>"36412021123112584770527"</f>
        <v>36412021123112584770527</v>
      </c>
      <c r="C2038" s="5" t="s">
        <v>35</v>
      </c>
      <c r="D2038" s="5" t="str">
        <f>"黄佳佳"</f>
        <v>黄佳佳</v>
      </c>
      <c r="E2038" s="5" t="str">
        <f t="shared" si="210"/>
        <v>女</v>
      </c>
      <c r="F2038" s="5" t="str">
        <f>"壮族"</f>
        <v>壮族</v>
      </c>
    </row>
    <row r="2039" ht="30" customHeight="1" spans="1:6">
      <c r="A2039" s="5">
        <v>2037</v>
      </c>
      <c r="B2039" s="5" t="str">
        <f>"36412021123113094070561"</f>
        <v>36412021123113094070561</v>
      </c>
      <c r="C2039" s="5" t="s">
        <v>35</v>
      </c>
      <c r="D2039" s="5" t="str">
        <f>"羊仙爱"</f>
        <v>羊仙爱</v>
      </c>
      <c r="E2039" s="5" t="str">
        <f t="shared" si="210"/>
        <v>女</v>
      </c>
      <c r="F2039" s="5" t="str">
        <f t="shared" ref="F2039:F2046" si="211">"汉族"</f>
        <v>汉族</v>
      </c>
    </row>
    <row r="2040" ht="30" customHeight="1" spans="1:6">
      <c r="A2040" s="5">
        <v>2038</v>
      </c>
      <c r="B2040" s="5" t="str">
        <f>"36412021123113210970587"</f>
        <v>36412021123113210970587</v>
      </c>
      <c r="C2040" s="5" t="s">
        <v>35</v>
      </c>
      <c r="D2040" s="5" t="str">
        <f>"葛秀平"</f>
        <v>葛秀平</v>
      </c>
      <c r="E2040" s="5" t="str">
        <f t="shared" si="210"/>
        <v>女</v>
      </c>
      <c r="F2040" s="5" t="str">
        <f t="shared" si="211"/>
        <v>汉族</v>
      </c>
    </row>
    <row r="2041" ht="30" customHeight="1" spans="1:6">
      <c r="A2041" s="5">
        <v>2039</v>
      </c>
      <c r="B2041" s="5" t="str">
        <f>"36412021123115314270903"</f>
        <v>36412021123115314270903</v>
      </c>
      <c r="C2041" s="5" t="s">
        <v>35</v>
      </c>
      <c r="D2041" s="5" t="str">
        <f>"施慧如"</f>
        <v>施慧如</v>
      </c>
      <c r="E2041" s="5" t="str">
        <f t="shared" si="210"/>
        <v>女</v>
      </c>
      <c r="F2041" s="5" t="str">
        <f t="shared" si="211"/>
        <v>汉族</v>
      </c>
    </row>
    <row r="2042" ht="30" customHeight="1" spans="1:6">
      <c r="A2042" s="5">
        <v>2040</v>
      </c>
      <c r="B2042" s="5" t="str">
        <f>"36412021123116063870975"</f>
        <v>36412021123116063870975</v>
      </c>
      <c r="C2042" s="5" t="s">
        <v>35</v>
      </c>
      <c r="D2042" s="5" t="str">
        <f>"唐俊苑"</f>
        <v>唐俊苑</v>
      </c>
      <c r="E2042" s="5" t="str">
        <f t="shared" si="210"/>
        <v>女</v>
      </c>
      <c r="F2042" s="5" t="str">
        <f t="shared" si="211"/>
        <v>汉族</v>
      </c>
    </row>
    <row r="2043" ht="30" customHeight="1" spans="1:6">
      <c r="A2043" s="5">
        <v>2041</v>
      </c>
      <c r="B2043" s="5" t="str">
        <f>"36412021123117585971169"</f>
        <v>36412021123117585971169</v>
      </c>
      <c r="C2043" s="5" t="s">
        <v>35</v>
      </c>
      <c r="D2043" s="5" t="str">
        <f>"杨月兰"</f>
        <v>杨月兰</v>
      </c>
      <c r="E2043" s="5" t="str">
        <f t="shared" si="210"/>
        <v>女</v>
      </c>
      <c r="F2043" s="5" t="str">
        <f t="shared" si="211"/>
        <v>汉族</v>
      </c>
    </row>
    <row r="2044" ht="30" customHeight="1" spans="1:6">
      <c r="A2044" s="5">
        <v>2042</v>
      </c>
      <c r="B2044" s="5" t="str">
        <f>"36412021123119464671247"</f>
        <v>36412021123119464671247</v>
      </c>
      <c r="C2044" s="5" t="s">
        <v>35</v>
      </c>
      <c r="D2044" s="5" t="str">
        <f>"王小惠"</f>
        <v>王小惠</v>
      </c>
      <c r="E2044" s="5" t="str">
        <f t="shared" si="210"/>
        <v>女</v>
      </c>
      <c r="F2044" s="5" t="str">
        <f t="shared" si="211"/>
        <v>汉族</v>
      </c>
    </row>
    <row r="2045" ht="30" customHeight="1" spans="1:6">
      <c r="A2045" s="5">
        <v>2043</v>
      </c>
      <c r="B2045" s="5" t="str">
        <f>"36412021123120490271293"</f>
        <v>36412021123120490271293</v>
      </c>
      <c r="C2045" s="5" t="s">
        <v>35</v>
      </c>
      <c r="D2045" s="5" t="str">
        <f>"李柏莲"</f>
        <v>李柏莲</v>
      </c>
      <c r="E2045" s="5" t="str">
        <f t="shared" si="210"/>
        <v>女</v>
      </c>
      <c r="F2045" s="5" t="str">
        <f t="shared" si="211"/>
        <v>汉族</v>
      </c>
    </row>
    <row r="2046" ht="30" customHeight="1" spans="1:6">
      <c r="A2046" s="5">
        <v>2044</v>
      </c>
      <c r="B2046" s="5" t="str">
        <f>"36412021123120541871298"</f>
        <v>36412021123120541871298</v>
      </c>
      <c r="C2046" s="5" t="s">
        <v>35</v>
      </c>
      <c r="D2046" s="5" t="str">
        <f>"黎菁菁"</f>
        <v>黎菁菁</v>
      </c>
      <c r="E2046" s="5" t="str">
        <f t="shared" si="210"/>
        <v>女</v>
      </c>
      <c r="F2046" s="5" t="str">
        <f t="shared" si="211"/>
        <v>汉族</v>
      </c>
    </row>
    <row r="2047" ht="30" customHeight="1" spans="1:6">
      <c r="A2047" s="5">
        <v>2045</v>
      </c>
      <c r="B2047" s="5" t="str">
        <f>"36412021123121094571313"</f>
        <v>36412021123121094571313</v>
      </c>
      <c r="C2047" s="5" t="s">
        <v>35</v>
      </c>
      <c r="D2047" s="5" t="str">
        <f>"符晓倩"</f>
        <v>符晓倩</v>
      </c>
      <c r="E2047" s="5" t="str">
        <f t="shared" si="210"/>
        <v>女</v>
      </c>
      <c r="F2047" s="5" t="str">
        <f>"黎族"</f>
        <v>黎族</v>
      </c>
    </row>
    <row r="2048" ht="30" customHeight="1" spans="1:6">
      <c r="A2048" s="5">
        <v>2046</v>
      </c>
      <c r="B2048" s="5" t="str">
        <f>"36412021123123512671395"</f>
        <v>36412021123123512671395</v>
      </c>
      <c r="C2048" s="5" t="s">
        <v>35</v>
      </c>
      <c r="D2048" s="5" t="str">
        <f>"苏静"</f>
        <v>苏静</v>
      </c>
      <c r="E2048" s="5" t="str">
        <f t="shared" si="210"/>
        <v>女</v>
      </c>
      <c r="F2048" s="5" t="str">
        <f>"汉族"</f>
        <v>汉族</v>
      </c>
    </row>
    <row r="2049" ht="30" customHeight="1" spans="1:6">
      <c r="A2049" s="5">
        <v>2047</v>
      </c>
      <c r="B2049" s="5" t="str">
        <f>"36412022010108224871434"</f>
        <v>36412022010108224871434</v>
      </c>
      <c r="C2049" s="5" t="s">
        <v>35</v>
      </c>
      <c r="D2049" s="5" t="str">
        <f>"蔡云飞"</f>
        <v>蔡云飞</v>
      </c>
      <c r="E2049" s="5" t="str">
        <f>"男"</f>
        <v>男</v>
      </c>
      <c r="F2049" s="5" t="str">
        <f>"黎族"</f>
        <v>黎族</v>
      </c>
    </row>
    <row r="2050" ht="30" customHeight="1" spans="1:6">
      <c r="A2050" s="5">
        <v>2048</v>
      </c>
      <c r="B2050" s="5" t="str">
        <f>"36412022010111270271643"</f>
        <v>36412022010111270271643</v>
      </c>
      <c r="C2050" s="5" t="s">
        <v>35</v>
      </c>
      <c r="D2050" s="5" t="str">
        <f>"羊明珠"</f>
        <v>羊明珠</v>
      </c>
      <c r="E2050" s="5" t="str">
        <f t="shared" ref="E2050:E2058" si="212">"女"</f>
        <v>女</v>
      </c>
      <c r="F2050" s="5" t="str">
        <f>"汉族"</f>
        <v>汉族</v>
      </c>
    </row>
    <row r="2051" ht="30" customHeight="1" spans="1:6">
      <c r="A2051" s="5">
        <v>2049</v>
      </c>
      <c r="B2051" s="5" t="str">
        <f>"36412022010111475071663"</f>
        <v>36412022010111475071663</v>
      </c>
      <c r="C2051" s="5" t="s">
        <v>35</v>
      </c>
      <c r="D2051" s="5" t="str">
        <f>"孙雅梅"</f>
        <v>孙雅梅</v>
      </c>
      <c r="E2051" s="5" t="str">
        <f t="shared" si="212"/>
        <v>女</v>
      </c>
      <c r="F2051" s="5" t="str">
        <f>"汉族"</f>
        <v>汉族</v>
      </c>
    </row>
    <row r="2052" ht="30" customHeight="1" spans="1:6">
      <c r="A2052" s="5">
        <v>2050</v>
      </c>
      <c r="B2052" s="5" t="str">
        <f>"36412022010112435771726"</f>
        <v>36412022010112435771726</v>
      </c>
      <c r="C2052" s="5" t="s">
        <v>35</v>
      </c>
      <c r="D2052" s="5" t="str">
        <f>"符树婷"</f>
        <v>符树婷</v>
      </c>
      <c r="E2052" s="5" t="str">
        <f t="shared" si="212"/>
        <v>女</v>
      </c>
      <c r="F2052" s="5" t="str">
        <f>"黎族"</f>
        <v>黎族</v>
      </c>
    </row>
    <row r="2053" ht="30" customHeight="1" spans="1:6">
      <c r="A2053" s="5">
        <v>2051</v>
      </c>
      <c r="B2053" s="5" t="str">
        <f>"36412022010115252471915"</f>
        <v>36412022010115252471915</v>
      </c>
      <c r="C2053" s="5" t="s">
        <v>35</v>
      </c>
      <c r="D2053" s="5" t="str">
        <f>"周艳娜"</f>
        <v>周艳娜</v>
      </c>
      <c r="E2053" s="5" t="str">
        <f t="shared" si="212"/>
        <v>女</v>
      </c>
      <c r="F2053" s="5" t="str">
        <f>"汉族"</f>
        <v>汉族</v>
      </c>
    </row>
    <row r="2054" ht="30" customHeight="1" spans="1:6">
      <c r="A2054" s="5">
        <v>2052</v>
      </c>
      <c r="B2054" s="5" t="str">
        <f>"36412022010120144072173"</f>
        <v>36412022010120144072173</v>
      </c>
      <c r="C2054" s="5" t="s">
        <v>35</v>
      </c>
      <c r="D2054" s="5" t="str">
        <f>"羊思思"</f>
        <v>羊思思</v>
      </c>
      <c r="E2054" s="5" t="str">
        <f t="shared" si="212"/>
        <v>女</v>
      </c>
      <c r="F2054" s="5" t="str">
        <f>"黎族"</f>
        <v>黎族</v>
      </c>
    </row>
    <row r="2055" ht="30" customHeight="1" spans="1:6">
      <c r="A2055" s="5">
        <v>2053</v>
      </c>
      <c r="B2055" s="5" t="str">
        <f>"36412022010120373372192"</f>
        <v>36412022010120373372192</v>
      </c>
      <c r="C2055" s="5" t="s">
        <v>35</v>
      </c>
      <c r="D2055" s="5" t="str">
        <f>"杨芬"</f>
        <v>杨芬</v>
      </c>
      <c r="E2055" s="5" t="str">
        <f t="shared" si="212"/>
        <v>女</v>
      </c>
      <c r="F2055" s="5" t="str">
        <f t="shared" ref="F2055:F2060" si="213">"汉族"</f>
        <v>汉族</v>
      </c>
    </row>
    <row r="2056" ht="30" customHeight="1" spans="1:6">
      <c r="A2056" s="5">
        <v>2054</v>
      </c>
      <c r="B2056" s="5" t="str">
        <f>"36412022010121240972241"</f>
        <v>36412022010121240972241</v>
      </c>
      <c r="C2056" s="5" t="s">
        <v>35</v>
      </c>
      <c r="D2056" s="5" t="str">
        <f>"张婉玥"</f>
        <v>张婉玥</v>
      </c>
      <c r="E2056" s="5" t="str">
        <f t="shared" si="212"/>
        <v>女</v>
      </c>
      <c r="F2056" s="5" t="str">
        <f t="shared" si="213"/>
        <v>汉族</v>
      </c>
    </row>
    <row r="2057" ht="30" customHeight="1" spans="1:6">
      <c r="A2057" s="5">
        <v>2055</v>
      </c>
      <c r="B2057" s="5" t="str">
        <f>"36412022010121563372284"</f>
        <v>36412022010121563372284</v>
      </c>
      <c r="C2057" s="5" t="s">
        <v>35</v>
      </c>
      <c r="D2057" s="5" t="str">
        <f>"罗琼华"</f>
        <v>罗琼华</v>
      </c>
      <c r="E2057" s="5" t="str">
        <f t="shared" si="212"/>
        <v>女</v>
      </c>
      <c r="F2057" s="5" t="str">
        <f t="shared" si="213"/>
        <v>汉族</v>
      </c>
    </row>
    <row r="2058" ht="30" customHeight="1" spans="1:6">
      <c r="A2058" s="5">
        <v>2056</v>
      </c>
      <c r="B2058" s="5" t="str">
        <f>"36412022010121581172285"</f>
        <v>36412022010121581172285</v>
      </c>
      <c r="C2058" s="5" t="s">
        <v>35</v>
      </c>
      <c r="D2058" s="5" t="str">
        <f>"李官杏"</f>
        <v>李官杏</v>
      </c>
      <c r="E2058" s="5" t="str">
        <f t="shared" si="212"/>
        <v>女</v>
      </c>
      <c r="F2058" s="5" t="str">
        <f t="shared" si="213"/>
        <v>汉族</v>
      </c>
    </row>
    <row r="2059" ht="30" customHeight="1" spans="1:6">
      <c r="A2059" s="5">
        <v>2057</v>
      </c>
      <c r="B2059" s="5" t="str">
        <f>"36412022010122015172289"</f>
        <v>36412022010122015172289</v>
      </c>
      <c r="C2059" s="5" t="s">
        <v>35</v>
      </c>
      <c r="D2059" s="5" t="str">
        <f>"陈世桐"</f>
        <v>陈世桐</v>
      </c>
      <c r="E2059" s="5" t="str">
        <f>"男"</f>
        <v>男</v>
      </c>
      <c r="F2059" s="5" t="str">
        <f t="shared" si="213"/>
        <v>汉族</v>
      </c>
    </row>
    <row r="2060" ht="30" customHeight="1" spans="1:6">
      <c r="A2060" s="5">
        <v>2058</v>
      </c>
      <c r="B2060" s="5" t="str">
        <f>"36412022010122475672338"</f>
        <v>36412022010122475672338</v>
      </c>
      <c r="C2060" s="5" t="s">
        <v>35</v>
      </c>
      <c r="D2060" s="5" t="str">
        <f>"王红棉"</f>
        <v>王红棉</v>
      </c>
      <c r="E2060" s="5" t="str">
        <f t="shared" ref="E2060:E2068" si="214">"女"</f>
        <v>女</v>
      </c>
      <c r="F2060" s="5" t="str">
        <f t="shared" si="213"/>
        <v>汉族</v>
      </c>
    </row>
    <row r="2061" ht="30" customHeight="1" spans="1:6">
      <c r="A2061" s="5">
        <v>2059</v>
      </c>
      <c r="B2061" s="5" t="str">
        <f>"36412022010209403572481"</f>
        <v>36412022010209403572481</v>
      </c>
      <c r="C2061" s="5" t="s">
        <v>35</v>
      </c>
      <c r="D2061" s="5" t="str">
        <f>"鄞宁丽"</f>
        <v>鄞宁丽</v>
      </c>
      <c r="E2061" s="5" t="str">
        <f t="shared" si="214"/>
        <v>女</v>
      </c>
      <c r="F2061" s="5" t="str">
        <f>"黎族"</f>
        <v>黎族</v>
      </c>
    </row>
    <row r="2062" ht="30" customHeight="1" spans="1:6">
      <c r="A2062" s="5">
        <v>2060</v>
      </c>
      <c r="B2062" s="5" t="str">
        <f>"36412022010210051072510"</f>
        <v>36412022010210051072510</v>
      </c>
      <c r="C2062" s="5" t="s">
        <v>35</v>
      </c>
      <c r="D2062" s="5" t="str">
        <f>"陈瑞雪"</f>
        <v>陈瑞雪</v>
      </c>
      <c r="E2062" s="5" t="str">
        <f t="shared" si="214"/>
        <v>女</v>
      </c>
      <c r="F2062" s="5" t="str">
        <f>"汉族"</f>
        <v>汉族</v>
      </c>
    </row>
    <row r="2063" ht="30" customHeight="1" spans="1:6">
      <c r="A2063" s="5">
        <v>2061</v>
      </c>
      <c r="B2063" s="5" t="str">
        <f>"36412022010210341672549"</f>
        <v>36412022010210341672549</v>
      </c>
      <c r="C2063" s="5" t="s">
        <v>35</v>
      </c>
      <c r="D2063" s="5" t="str">
        <f>"张燕慧"</f>
        <v>张燕慧</v>
      </c>
      <c r="E2063" s="5" t="str">
        <f t="shared" si="214"/>
        <v>女</v>
      </c>
      <c r="F2063" s="5" t="str">
        <f>"黎族"</f>
        <v>黎族</v>
      </c>
    </row>
    <row r="2064" ht="30" customHeight="1" spans="1:6">
      <c r="A2064" s="5">
        <v>2062</v>
      </c>
      <c r="B2064" s="5" t="str">
        <f>"36412022010211082872597"</f>
        <v>36412022010211082872597</v>
      </c>
      <c r="C2064" s="5" t="s">
        <v>35</v>
      </c>
      <c r="D2064" s="5" t="str">
        <f>"杨娜"</f>
        <v>杨娜</v>
      </c>
      <c r="E2064" s="5" t="str">
        <f t="shared" si="214"/>
        <v>女</v>
      </c>
      <c r="F2064" s="5" t="str">
        <f>"汉族"</f>
        <v>汉族</v>
      </c>
    </row>
    <row r="2065" ht="30" customHeight="1" spans="1:6">
      <c r="A2065" s="5">
        <v>2063</v>
      </c>
      <c r="B2065" s="5" t="str">
        <f>"36412022010211311972635"</f>
        <v>36412022010211311972635</v>
      </c>
      <c r="C2065" s="5" t="s">
        <v>35</v>
      </c>
      <c r="D2065" s="5" t="str">
        <f>"符钰月"</f>
        <v>符钰月</v>
      </c>
      <c r="E2065" s="5" t="str">
        <f t="shared" si="214"/>
        <v>女</v>
      </c>
      <c r="F2065" s="5" t="str">
        <f>"黎族"</f>
        <v>黎族</v>
      </c>
    </row>
    <row r="2066" ht="30" customHeight="1" spans="1:6">
      <c r="A2066" s="5">
        <v>2064</v>
      </c>
      <c r="B2066" s="5" t="str">
        <f>"36412022010211444272657"</f>
        <v>36412022010211444272657</v>
      </c>
      <c r="C2066" s="5" t="s">
        <v>35</v>
      </c>
      <c r="D2066" s="5" t="str">
        <f>"陈香风"</f>
        <v>陈香风</v>
      </c>
      <c r="E2066" s="5" t="str">
        <f t="shared" si="214"/>
        <v>女</v>
      </c>
      <c r="F2066" s="5" t="str">
        <f t="shared" ref="F2066:F2072" si="215">"汉族"</f>
        <v>汉族</v>
      </c>
    </row>
    <row r="2067" ht="30" customHeight="1" spans="1:6">
      <c r="A2067" s="5">
        <v>2065</v>
      </c>
      <c r="B2067" s="5" t="str">
        <f>"36412022010211542872673"</f>
        <v>36412022010211542872673</v>
      </c>
      <c r="C2067" s="5" t="s">
        <v>35</v>
      </c>
      <c r="D2067" s="5" t="str">
        <f>"文秋"</f>
        <v>文秋</v>
      </c>
      <c r="E2067" s="5" t="str">
        <f t="shared" si="214"/>
        <v>女</v>
      </c>
      <c r="F2067" s="5" t="str">
        <f t="shared" si="215"/>
        <v>汉族</v>
      </c>
    </row>
    <row r="2068" ht="30" customHeight="1" spans="1:6">
      <c r="A2068" s="5">
        <v>2066</v>
      </c>
      <c r="B2068" s="5" t="str">
        <f>"36412022010213412572803"</f>
        <v>36412022010213412572803</v>
      </c>
      <c r="C2068" s="5" t="s">
        <v>35</v>
      </c>
      <c r="D2068" s="5" t="str">
        <f>"张修娟"</f>
        <v>张修娟</v>
      </c>
      <c r="E2068" s="5" t="str">
        <f t="shared" si="214"/>
        <v>女</v>
      </c>
      <c r="F2068" s="5" t="str">
        <f t="shared" si="215"/>
        <v>汉族</v>
      </c>
    </row>
    <row r="2069" ht="30" customHeight="1" spans="1:6">
      <c r="A2069" s="5">
        <v>2067</v>
      </c>
      <c r="B2069" s="5" t="str">
        <f>"36412022010214063872841"</f>
        <v>36412022010214063872841</v>
      </c>
      <c r="C2069" s="5" t="s">
        <v>35</v>
      </c>
      <c r="D2069" s="5" t="str">
        <f>"王道东"</f>
        <v>王道东</v>
      </c>
      <c r="E2069" s="5" t="str">
        <f>"男"</f>
        <v>男</v>
      </c>
      <c r="F2069" s="5" t="str">
        <f t="shared" si="215"/>
        <v>汉族</v>
      </c>
    </row>
    <row r="2070" ht="30" customHeight="1" spans="1:6">
      <c r="A2070" s="5">
        <v>2068</v>
      </c>
      <c r="B2070" s="5" t="str">
        <f>"36412022010219044273147"</f>
        <v>36412022010219044273147</v>
      </c>
      <c r="C2070" s="5" t="s">
        <v>35</v>
      </c>
      <c r="D2070" s="5" t="str">
        <f>"柯云飞"</f>
        <v>柯云飞</v>
      </c>
      <c r="E2070" s="5" t="str">
        <f t="shared" ref="E2070:E2082" si="216">"女"</f>
        <v>女</v>
      </c>
      <c r="F2070" s="5" t="str">
        <f t="shared" si="215"/>
        <v>汉族</v>
      </c>
    </row>
    <row r="2071" ht="30" customHeight="1" spans="1:6">
      <c r="A2071" s="5">
        <v>2069</v>
      </c>
      <c r="B2071" s="5" t="str">
        <f>"36412022010220552873277"</f>
        <v>36412022010220552873277</v>
      </c>
      <c r="C2071" s="5" t="s">
        <v>35</v>
      </c>
      <c r="D2071" s="5" t="str">
        <f>"刘梅金"</f>
        <v>刘梅金</v>
      </c>
      <c r="E2071" s="5" t="str">
        <f t="shared" si="216"/>
        <v>女</v>
      </c>
      <c r="F2071" s="5" t="str">
        <f t="shared" si="215"/>
        <v>汉族</v>
      </c>
    </row>
    <row r="2072" ht="30" customHeight="1" spans="1:6">
      <c r="A2072" s="5">
        <v>2070</v>
      </c>
      <c r="B2072" s="5" t="str">
        <f>"36412022010221215673306"</f>
        <v>36412022010221215673306</v>
      </c>
      <c r="C2072" s="5" t="s">
        <v>35</v>
      </c>
      <c r="D2072" s="5" t="str">
        <f>"冯金英"</f>
        <v>冯金英</v>
      </c>
      <c r="E2072" s="5" t="str">
        <f t="shared" si="216"/>
        <v>女</v>
      </c>
      <c r="F2072" s="5" t="str">
        <f t="shared" si="215"/>
        <v>汉族</v>
      </c>
    </row>
    <row r="2073" ht="30" customHeight="1" spans="1:6">
      <c r="A2073" s="5">
        <v>2071</v>
      </c>
      <c r="B2073" s="5" t="str">
        <f>"36412022010303295873467"</f>
        <v>36412022010303295873467</v>
      </c>
      <c r="C2073" s="5" t="s">
        <v>35</v>
      </c>
      <c r="D2073" s="5" t="str">
        <f>"刘片"</f>
        <v>刘片</v>
      </c>
      <c r="E2073" s="5" t="str">
        <f t="shared" si="216"/>
        <v>女</v>
      </c>
      <c r="F2073" s="5" t="str">
        <f>"黎族"</f>
        <v>黎族</v>
      </c>
    </row>
    <row r="2074" ht="30" customHeight="1" spans="1:6">
      <c r="A2074" s="5">
        <v>2072</v>
      </c>
      <c r="B2074" s="5" t="str">
        <f>"36412022010309522973906"</f>
        <v>36412022010309522973906</v>
      </c>
      <c r="C2074" s="5" t="s">
        <v>35</v>
      </c>
      <c r="D2074" s="5" t="str">
        <f>"王冉冉"</f>
        <v>王冉冉</v>
      </c>
      <c r="E2074" s="5" t="str">
        <f t="shared" si="216"/>
        <v>女</v>
      </c>
      <c r="F2074" s="5" t="str">
        <f t="shared" ref="F2074:F2082" si="217">"汉族"</f>
        <v>汉族</v>
      </c>
    </row>
    <row r="2075" ht="30" customHeight="1" spans="1:6">
      <c r="A2075" s="5">
        <v>2073</v>
      </c>
      <c r="B2075" s="5" t="str">
        <f>"36412022010310134174009"</f>
        <v>36412022010310134174009</v>
      </c>
      <c r="C2075" s="5" t="s">
        <v>35</v>
      </c>
      <c r="D2075" s="5" t="str">
        <f>"王丽"</f>
        <v>王丽</v>
      </c>
      <c r="E2075" s="5" t="str">
        <f t="shared" si="216"/>
        <v>女</v>
      </c>
      <c r="F2075" s="5" t="str">
        <f t="shared" si="217"/>
        <v>汉族</v>
      </c>
    </row>
    <row r="2076" ht="30" customHeight="1" spans="1:6">
      <c r="A2076" s="5">
        <v>2074</v>
      </c>
      <c r="B2076" s="5" t="str">
        <f>"36412022010310294274103"</f>
        <v>36412022010310294274103</v>
      </c>
      <c r="C2076" s="5" t="s">
        <v>35</v>
      </c>
      <c r="D2076" s="5" t="str">
        <f>"黄小妹"</f>
        <v>黄小妹</v>
      </c>
      <c r="E2076" s="5" t="str">
        <f t="shared" si="216"/>
        <v>女</v>
      </c>
      <c r="F2076" s="5" t="str">
        <f t="shared" si="217"/>
        <v>汉族</v>
      </c>
    </row>
    <row r="2077" ht="30" customHeight="1" spans="1:6">
      <c r="A2077" s="5">
        <v>2075</v>
      </c>
      <c r="B2077" s="5" t="str">
        <f>"36412022010310443774192"</f>
        <v>36412022010310443774192</v>
      </c>
      <c r="C2077" s="5" t="s">
        <v>35</v>
      </c>
      <c r="D2077" s="5" t="str">
        <f>"符秀娥"</f>
        <v>符秀娥</v>
      </c>
      <c r="E2077" s="5" t="str">
        <f t="shared" si="216"/>
        <v>女</v>
      </c>
      <c r="F2077" s="5" t="str">
        <f t="shared" si="217"/>
        <v>汉族</v>
      </c>
    </row>
    <row r="2078" ht="30" customHeight="1" spans="1:6">
      <c r="A2078" s="5">
        <v>2076</v>
      </c>
      <c r="B2078" s="5" t="str">
        <f>"36412022010311250074401"</f>
        <v>36412022010311250074401</v>
      </c>
      <c r="C2078" s="5" t="s">
        <v>35</v>
      </c>
      <c r="D2078" s="5" t="str">
        <f>"郭伟伟"</f>
        <v>郭伟伟</v>
      </c>
      <c r="E2078" s="5" t="str">
        <f t="shared" si="216"/>
        <v>女</v>
      </c>
      <c r="F2078" s="5" t="str">
        <f t="shared" si="217"/>
        <v>汉族</v>
      </c>
    </row>
    <row r="2079" ht="30" customHeight="1" spans="1:6">
      <c r="A2079" s="5">
        <v>2077</v>
      </c>
      <c r="B2079" s="5" t="str">
        <f>"36412022010311254574407"</f>
        <v>36412022010311254574407</v>
      </c>
      <c r="C2079" s="5" t="s">
        <v>35</v>
      </c>
      <c r="D2079" s="5" t="str">
        <f>"许妍娥"</f>
        <v>许妍娥</v>
      </c>
      <c r="E2079" s="5" t="str">
        <f t="shared" si="216"/>
        <v>女</v>
      </c>
      <c r="F2079" s="5" t="str">
        <f t="shared" si="217"/>
        <v>汉族</v>
      </c>
    </row>
    <row r="2080" ht="30" customHeight="1" spans="1:6">
      <c r="A2080" s="5">
        <v>2078</v>
      </c>
      <c r="B2080" s="5" t="str">
        <f>"36412022010311322374452"</f>
        <v>36412022010311322374452</v>
      </c>
      <c r="C2080" s="5" t="s">
        <v>35</v>
      </c>
      <c r="D2080" s="5" t="str">
        <f>"刘海珍"</f>
        <v>刘海珍</v>
      </c>
      <c r="E2080" s="5" t="str">
        <f t="shared" si="216"/>
        <v>女</v>
      </c>
      <c r="F2080" s="5" t="str">
        <f t="shared" si="217"/>
        <v>汉族</v>
      </c>
    </row>
    <row r="2081" ht="30" customHeight="1" spans="1:6">
      <c r="A2081" s="5">
        <v>2079</v>
      </c>
      <c r="B2081" s="5" t="str">
        <f>"36412022010311420474508"</f>
        <v>36412022010311420474508</v>
      </c>
      <c r="C2081" s="5" t="s">
        <v>35</v>
      </c>
      <c r="D2081" s="5" t="str">
        <f>"郑春敏"</f>
        <v>郑春敏</v>
      </c>
      <c r="E2081" s="5" t="str">
        <f t="shared" si="216"/>
        <v>女</v>
      </c>
      <c r="F2081" s="5" t="str">
        <f t="shared" si="217"/>
        <v>汉族</v>
      </c>
    </row>
    <row r="2082" ht="30" customHeight="1" spans="1:6">
      <c r="A2082" s="5">
        <v>2080</v>
      </c>
      <c r="B2082" s="5" t="str">
        <f>"36412022010312022174601"</f>
        <v>36412022010312022174601</v>
      </c>
      <c r="C2082" s="5" t="s">
        <v>35</v>
      </c>
      <c r="D2082" s="5" t="str">
        <f>"符玉湘"</f>
        <v>符玉湘</v>
      </c>
      <c r="E2082" s="5" t="str">
        <f t="shared" si="216"/>
        <v>女</v>
      </c>
      <c r="F2082" s="5" t="str">
        <f t="shared" si="217"/>
        <v>汉族</v>
      </c>
    </row>
    <row r="2083" ht="30" customHeight="1" spans="1:6">
      <c r="A2083" s="5">
        <v>2081</v>
      </c>
      <c r="B2083" s="5" t="str">
        <f>"36412022010312053374618"</f>
        <v>36412022010312053374618</v>
      </c>
      <c r="C2083" s="5" t="s">
        <v>35</v>
      </c>
      <c r="D2083" s="5" t="str">
        <f>"王星蕴"</f>
        <v>王星蕴</v>
      </c>
      <c r="E2083" s="5" t="str">
        <f>"男"</f>
        <v>男</v>
      </c>
      <c r="F2083" s="5" t="str">
        <f>"满族"</f>
        <v>满族</v>
      </c>
    </row>
    <row r="2084" ht="30" customHeight="1" spans="1:6">
      <c r="A2084" s="5">
        <v>2082</v>
      </c>
      <c r="B2084" s="5" t="str">
        <f>"36412022010316550575715"</f>
        <v>36412022010316550575715</v>
      </c>
      <c r="C2084" s="5" t="s">
        <v>35</v>
      </c>
      <c r="D2084" s="5" t="str">
        <f>"冼权芬"</f>
        <v>冼权芬</v>
      </c>
      <c r="E2084" s="5" t="str">
        <f t="shared" ref="E2084:E2140" si="218">"女"</f>
        <v>女</v>
      </c>
      <c r="F2084" s="5" t="str">
        <f>"黎族"</f>
        <v>黎族</v>
      </c>
    </row>
    <row r="2085" ht="30" customHeight="1" spans="1:6">
      <c r="A2085" s="5">
        <v>2083</v>
      </c>
      <c r="B2085" s="5" t="str">
        <f>"36412022010317215475807"</f>
        <v>36412022010317215475807</v>
      </c>
      <c r="C2085" s="5" t="s">
        <v>35</v>
      </c>
      <c r="D2085" s="5" t="str">
        <f>"黎美青"</f>
        <v>黎美青</v>
      </c>
      <c r="E2085" s="5" t="str">
        <f t="shared" si="218"/>
        <v>女</v>
      </c>
      <c r="F2085" s="5" t="str">
        <f t="shared" ref="F2085:F2095" si="219">"汉族"</f>
        <v>汉族</v>
      </c>
    </row>
    <row r="2086" ht="30" customHeight="1" spans="1:6">
      <c r="A2086" s="5">
        <v>2084</v>
      </c>
      <c r="B2086" s="5" t="str">
        <f>"36412022010318271376003"</f>
        <v>36412022010318271376003</v>
      </c>
      <c r="C2086" s="5" t="s">
        <v>35</v>
      </c>
      <c r="D2086" s="5" t="str">
        <f>"钟专"</f>
        <v>钟专</v>
      </c>
      <c r="E2086" s="5" t="str">
        <f t="shared" si="218"/>
        <v>女</v>
      </c>
      <c r="F2086" s="5" t="str">
        <f t="shared" si="219"/>
        <v>汉族</v>
      </c>
    </row>
    <row r="2087" ht="30" customHeight="1" spans="1:6">
      <c r="A2087" s="5">
        <v>2085</v>
      </c>
      <c r="B2087" s="5" t="str">
        <f>"36412022010318581376095"</f>
        <v>36412022010318581376095</v>
      </c>
      <c r="C2087" s="5" t="s">
        <v>35</v>
      </c>
      <c r="D2087" s="5" t="str">
        <f>"许小钰"</f>
        <v>许小钰</v>
      </c>
      <c r="E2087" s="5" t="str">
        <f t="shared" si="218"/>
        <v>女</v>
      </c>
      <c r="F2087" s="5" t="str">
        <f t="shared" si="219"/>
        <v>汉族</v>
      </c>
    </row>
    <row r="2088" ht="30" customHeight="1" spans="1:6">
      <c r="A2088" s="5">
        <v>2086</v>
      </c>
      <c r="B2088" s="5" t="str">
        <f>"36412022010319065376128"</f>
        <v>36412022010319065376128</v>
      </c>
      <c r="C2088" s="5" t="s">
        <v>35</v>
      </c>
      <c r="D2088" s="5" t="str">
        <f>"符芳瑜"</f>
        <v>符芳瑜</v>
      </c>
      <c r="E2088" s="5" t="str">
        <f t="shared" si="218"/>
        <v>女</v>
      </c>
      <c r="F2088" s="5" t="str">
        <f t="shared" si="219"/>
        <v>汉族</v>
      </c>
    </row>
    <row r="2089" ht="30" customHeight="1" spans="1:6">
      <c r="A2089" s="5">
        <v>2087</v>
      </c>
      <c r="B2089" s="5" t="str">
        <f>"36412022010320504476464"</f>
        <v>36412022010320504476464</v>
      </c>
      <c r="C2089" s="5" t="s">
        <v>35</v>
      </c>
      <c r="D2089" s="5" t="str">
        <f>"王心莹"</f>
        <v>王心莹</v>
      </c>
      <c r="E2089" s="5" t="str">
        <f t="shared" si="218"/>
        <v>女</v>
      </c>
      <c r="F2089" s="5" t="str">
        <f t="shared" si="219"/>
        <v>汉族</v>
      </c>
    </row>
    <row r="2090" ht="30" customHeight="1" spans="1:6">
      <c r="A2090" s="5">
        <v>2088</v>
      </c>
      <c r="B2090" s="5" t="str">
        <f>"36412022010321211276560"</f>
        <v>36412022010321211276560</v>
      </c>
      <c r="C2090" s="5" t="s">
        <v>35</v>
      </c>
      <c r="D2090" s="5" t="str">
        <f>"苏小菊"</f>
        <v>苏小菊</v>
      </c>
      <c r="E2090" s="5" t="str">
        <f t="shared" si="218"/>
        <v>女</v>
      </c>
      <c r="F2090" s="5" t="str">
        <f t="shared" si="219"/>
        <v>汉族</v>
      </c>
    </row>
    <row r="2091" ht="30" customHeight="1" spans="1:6">
      <c r="A2091" s="5">
        <v>2089</v>
      </c>
      <c r="B2091" s="5" t="str">
        <f>"36412022010408400377256"</f>
        <v>36412022010408400377256</v>
      </c>
      <c r="C2091" s="5" t="s">
        <v>35</v>
      </c>
      <c r="D2091" s="5" t="str">
        <f>"符荣荣"</f>
        <v>符荣荣</v>
      </c>
      <c r="E2091" s="5" t="str">
        <f t="shared" si="218"/>
        <v>女</v>
      </c>
      <c r="F2091" s="5" t="str">
        <f t="shared" si="219"/>
        <v>汉族</v>
      </c>
    </row>
    <row r="2092" ht="30" customHeight="1" spans="1:6">
      <c r="A2092" s="5">
        <v>2090</v>
      </c>
      <c r="B2092" s="5" t="str">
        <f>"36412022010408475277308"</f>
        <v>36412022010408475277308</v>
      </c>
      <c r="C2092" s="5" t="s">
        <v>35</v>
      </c>
      <c r="D2092" s="5" t="str">
        <f>"曾雪芳"</f>
        <v>曾雪芳</v>
      </c>
      <c r="E2092" s="5" t="str">
        <f t="shared" si="218"/>
        <v>女</v>
      </c>
      <c r="F2092" s="5" t="str">
        <f t="shared" si="219"/>
        <v>汉族</v>
      </c>
    </row>
    <row r="2093" ht="30" customHeight="1" spans="1:6">
      <c r="A2093" s="5">
        <v>2091</v>
      </c>
      <c r="B2093" s="5" t="str">
        <f>"36412022010410203778088"</f>
        <v>36412022010410203778088</v>
      </c>
      <c r="C2093" s="5" t="s">
        <v>35</v>
      </c>
      <c r="D2093" s="5" t="str">
        <f>"范聪"</f>
        <v>范聪</v>
      </c>
      <c r="E2093" s="5" t="str">
        <f t="shared" si="218"/>
        <v>女</v>
      </c>
      <c r="F2093" s="5" t="str">
        <f t="shared" si="219"/>
        <v>汉族</v>
      </c>
    </row>
    <row r="2094" ht="30" customHeight="1" spans="1:6">
      <c r="A2094" s="5">
        <v>2092</v>
      </c>
      <c r="B2094" s="5" t="str">
        <f>"36412022010410325378202"</f>
        <v>36412022010410325378202</v>
      </c>
      <c r="C2094" s="5" t="s">
        <v>35</v>
      </c>
      <c r="D2094" s="5" t="str">
        <f>"殷芳"</f>
        <v>殷芳</v>
      </c>
      <c r="E2094" s="5" t="str">
        <f t="shared" si="218"/>
        <v>女</v>
      </c>
      <c r="F2094" s="5" t="str">
        <f t="shared" si="219"/>
        <v>汉族</v>
      </c>
    </row>
    <row r="2095" ht="30" customHeight="1" spans="1:6">
      <c r="A2095" s="5">
        <v>2093</v>
      </c>
      <c r="B2095" s="5" t="str">
        <f>"36412022010410433778292"</f>
        <v>36412022010410433778292</v>
      </c>
      <c r="C2095" s="5" t="s">
        <v>35</v>
      </c>
      <c r="D2095" s="5" t="str">
        <f>"曹婷"</f>
        <v>曹婷</v>
      </c>
      <c r="E2095" s="5" t="str">
        <f t="shared" si="218"/>
        <v>女</v>
      </c>
      <c r="F2095" s="5" t="str">
        <f t="shared" si="219"/>
        <v>汉族</v>
      </c>
    </row>
    <row r="2096" ht="30" customHeight="1" spans="1:6">
      <c r="A2096" s="5">
        <v>2094</v>
      </c>
      <c r="B2096" s="5" t="str">
        <f>"36412022010411220378632"</f>
        <v>36412022010411220378632</v>
      </c>
      <c r="C2096" s="5" t="s">
        <v>35</v>
      </c>
      <c r="D2096" s="5" t="str">
        <f>"吴丽"</f>
        <v>吴丽</v>
      </c>
      <c r="E2096" s="5" t="str">
        <f t="shared" si="218"/>
        <v>女</v>
      </c>
      <c r="F2096" s="5" t="str">
        <f>"黎族"</f>
        <v>黎族</v>
      </c>
    </row>
    <row r="2097" ht="30" customHeight="1" spans="1:6">
      <c r="A2097" s="5">
        <v>2095</v>
      </c>
      <c r="B2097" s="5" t="str">
        <f>"36412022010411582978874"</f>
        <v>36412022010411582978874</v>
      </c>
      <c r="C2097" s="5" t="s">
        <v>35</v>
      </c>
      <c r="D2097" s="5" t="str">
        <f>"韩白翠"</f>
        <v>韩白翠</v>
      </c>
      <c r="E2097" s="5" t="str">
        <f t="shared" si="218"/>
        <v>女</v>
      </c>
      <c r="F2097" s="5" t="str">
        <f>"汉族"</f>
        <v>汉族</v>
      </c>
    </row>
    <row r="2098" ht="30" customHeight="1" spans="1:6">
      <c r="A2098" s="5">
        <v>2096</v>
      </c>
      <c r="B2098" s="5" t="str">
        <f>"36412022010412370779055"</f>
        <v>36412022010412370779055</v>
      </c>
      <c r="C2098" s="5" t="s">
        <v>35</v>
      </c>
      <c r="D2098" s="5" t="str">
        <f>"符少潇"</f>
        <v>符少潇</v>
      </c>
      <c r="E2098" s="5" t="str">
        <f t="shared" si="218"/>
        <v>女</v>
      </c>
      <c r="F2098" s="5" t="str">
        <f>"汉族"</f>
        <v>汉族</v>
      </c>
    </row>
    <row r="2099" ht="30" customHeight="1" spans="1:6">
      <c r="A2099" s="5">
        <v>2097</v>
      </c>
      <c r="B2099" s="5" t="str">
        <f>"36412022010412423279078"</f>
        <v>36412022010412423279078</v>
      </c>
      <c r="C2099" s="5" t="s">
        <v>35</v>
      </c>
      <c r="D2099" s="5" t="str">
        <f>"王露娜"</f>
        <v>王露娜</v>
      </c>
      <c r="E2099" s="5" t="str">
        <f t="shared" si="218"/>
        <v>女</v>
      </c>
      <c r="F2099" s="5" t="str">
        <f>"汉族"</f>
        <v>汉族</v>
      </c>
    </row>
    <row r="2100" ht="30" customHeight="1" spans="1:6">
      <c r="A2100" s="5">
        <v>2098</v>
      </c>
      <c r="B2100" s="5" t="str">
        <f>"36412022010413443179339"</f>
        <v>36412022010413443179339</v>
      </c>
      <c r="C2100" s="5" t="s">
        <v>35</v>
      </c>
      <c r="D2100" s="5" t="str">
        <f>"王佩"</f>
        <v>王佩</v>
      </c>
      <c r="E2100" s="5" t="str">
        <f t="shared" si="218"/>
        <v>女</v>
      </c>
      <c r="F2100" s="5" t="str">
        <f>"黎族"</f>
        <v>黎族</v>
      </c>
    </row>
    <row r="2101" ht="30" customHeight="1" spans="1:6">
      <c r="A2101" s="5">
        <v>2099</v>
      </c>
      <c r="B2101" s="5" t="str">
        <f>"36412022010415013979697"</f>
        <v>36412022010415013979697</v>
      </c>
      <c r="C2101" s="5" t="s">
        <v>35</v>
      </c>
      <c r="D2101" s="5" t="str">
        <f>"王小容"</f>
        <v>王小容</v>
      </c>
      <c r="E2101" s="5" t="str">
        <f t="shared" si="218"/>
        <v>女</v>
      </c>
      <c r="F2101" s="5" t="str">
        <f t="shared" ref="F2101:F2111" si="220">"汉族"</f>
        <v>汉族</v>
      </c>
    </row>
    <row r="2102" ht="30" customHeight="1" spans="1:6">
      <c r="A2102" s="5">
        <v>2100</v>
      </c>
      <c r="B2102" s="5" t="str">
        <f>"36412022010416115980150"</f>
        <v>36412022010416115980150</v>
      </c>
      <c r="C2102" s="5" t="s">
        <v>35</v>
      </c>
      <c r="D2102" s="5" t="str">
        <f>"陈小妹"</f>
        <v>陈小妹</v>
      </c>
      <c r="E2102" s="5" t="str">
        <f t="shared" si="218"/>
        <v>女</v>
      </c>
      <c r="F2102" s="5" t="str">
        <f t="shared" si="220"/>
        <v>汉族</v>
      </c>
    </row>
    <row r="2103" ht="30" customHeight="1" spans="1:6">
      <c r="A2103" s="5">
        <v>2101</v>
      </c>
      <c r="B2103" s="5" t="str">
        <f>"36412022010417044780448"</f>
        <v>36412022010417044780448</v>
      </c>
      <c r="C2103" s="5" t="s">
        <v>35</v>
      </c>
      <c r="D2103" s="5" t="str">
        <f>"杨斯焱"</f>
        <v>杨斯焱</v>
      </c>
      <c r="E2103" s="5" t="str">
        <f t="shared" si="218"/>
        <v>女</v>
      </c>
      <c r="F2103" s="5" t="str">
        <f t="shared" si="220"/>
        <v>汉族</v>
      </c>
    </row>
    <row r="2104" ht="30" customHeight="1" spans="1:6">
      <c r="A2104" s="5">
        <v>2102</v>
      </c>
      <c r="B2104" s="5" t="str">
        <f>"36412022010417331080608"</f>
        <v>36412022010417331080608</v>
      </c>
      <c r="C2104" s="5" t="s">
        <v>35</v>
      </c>
      <c r="D2104" s="5" t="str">
        <f>"陈泽苑"</f>
        <v>陈泽苑</v>
      </c>
      <c r="E2104" s="5" t="str">
        <f t="shared" si="218"/>
        <v>女</v>
      </c>
      <c r="F2104" s="5" t="str">
        <f t="shared" si="220"/>
        <v>汉族</v>
      </c>
    </row>
    <row r="2105" ht="30" customHeight="1" spans="1:6">
      <c r="A2105" s="5">
        <v>2103</v>
      </c>
      <c r="B2105" s="5" t="str">
        <f>"36412022010417380080623"</f>
        <v>36412022010417380080623</v>
      </c>
      <c r="C2105" s="5" t="s">
        <v>35</v>
      </c>
      <c r="D2105" s="5" t="str">
        <f>"罗小妹"</f>
        <v>罗小妹</v>
      </c>
      <c r="E2105" s="5" t="str">
        <f t="shared" si="218"/>
        <v>女</v>
      </c>
      <c r="F2105" s="5" t="str">
        <f t="shared" si="220"/>
        <v>汉族</v>
      </c>
    </row>
    <row r="2106" ht="30" customHeight="1" spans="1:6">
      <c r="A2106" s="5">
        <v>2104</v>
      </c>
      <c r="B2106" s="5" t="str">
        <f>"36412022010418171180781"</f>
        <v>36412022010418171180781</v>
      </c>
      <c r="C2106" s="5" t="s">
        <v>35</v>
      </c>
      <c r="D2106" s="5" t="str">
        <f>"左蓉"</f>
        <v>左蓉</v>
      </c>
      <c r="E2106" s="5" t="str">
        <f t="shared" si="218"/>
        <v>女</v>
      </c>
      <c r="F2106" s="5" t="str">
        <f t="shared" si="220"/>
        <v>汉族</v>
      </c>
    </row>
    <row r="2107" ht="30" customHeight="1" spans="1:6">
      <c r="A2107" s="5">
        <v>2105</v>
      </c>
      <c r="B2107" s="5" t="str">
        <f>"36412022010419071181011"</f>
        <v>36412022010419071181011</v>
      </c>
      <c r="C2107" s="5" t="s">
        <v>35</v>
      </c>
      <c r="D2107" s="5" t="str">
        <f>"羊廷慧"</f>
        <v>羊廷慧</v>
      </c>
      <c r="E2107" s="5" t="str">
        <f t="shared" si="218"/>
        <v>女</v>
      </c>
      <c r="F2107" s="5" t="str">
        <f t="shared" si="220"/>
        <v>汉族</v>
      </c>
    </row>
    <row r="2108" ht="30" customHeight="1" spans="1:6">
      <c r="A2108" s="5">
        <v>2106</v>
      </c>
      <c r="B2108" s="5" t="str">
        <f>"36412022010419370381154"</f>
        <v>36412022010419370381154</v>
      </c>
      <c r="C2108" s="5" t="s">
        <v>35</v>
      </c>
      <c r="D2108" s="5" t="str">
        <f>"林美应"</f>
        <v>林美应</v>
      </c>
      <c r="E2108" s="5" t="str">
        <f t="shared" si="218"/>
        <v>女</v>
      </c>
      <c r="F2108" s="5" t="str">
        <f t="shared" si="220"/>
        <v>汉族</v>
      </c>
    </row>
    <row r="2109" ht="30" customHeight="1" spans="1:6">
      <c r="A2109" s="5">
        <v>2107</v>
      </c>
      <c r="B2109" s="5" t="str">
        <f>"36412022010419584681266"</f>
        <v>36412022010419584681266</v>
      </c>
      <c r="C2109" s="5" t="s">
        <v>35</v>
      </c>
      <c r="D2109" s="5" t="str">
        <f>"杜春慢"</f>
        <v>杜春慢</v>
      </c>
      <c r="E2109" s="5" t="str">
        <f t="shared" si="218"/>
        <v>女</v>
      </c>
      <c r="F2109" s="5" t="str">
        <f t="shared" si="220"/>
        <v>汉族</v>
      </c>
    </row>
    <row r="2110" ht="30" customHeight="1" spans="1:6">
      <c r="A2110" s="5">
        <v>2108</v>
      </c>
      <c r="B2110" s="5" t="str">
        <f>"36412022010420023681280"</f>
        <v>36412022010420023681280</v>
      </c>
      <c r="C2110" s="5" t="s">
        <v>35</v>
      </c>
      <c r="D2110" s="5" t="str">
        <f>"邓陈杏"</f>
        <v>邓陈杏</v>
      </c>
      <c r="E2110" s="5" t="str">
        <f t="shared" si="218"/>
        <v>女</v>
      </c>
      <c r="F2110" s="5" t="str">
        <f t="shared" si="220"/>
        <v>汉族</v>
      </c>
    </row>
    <row r="2111" ht="30" customHeight="1" spans="1:6">
      <c r="A2111" s="5">
        <v>2109</v>
      </c>
      <c r="B2111" s="5" t="str">
        <f>"36412022010420513581532"</f>
        <v>36412022010420513581532</v>
      </c>
      <c r="C2111" s="5" t="s">
        <v>35</v>
      </c>
      <c r="D2111" s="5" t="str">
        <f>"李秋妹"</f>
        <v>李秋妹</v>
      </c>
      <c r="E2111" s="5" t="str">
        <f t="shared" si="218"/>
        <v>女</v>
      </c>
      <c r="F2111" s="5" t="str">
        <f t="shared" si="220"/>
        <v>汉族</v>
      </c>
    </row>
    <row r="2112" ht="30" customHeight="1" spans="1:6">
      <c r="A2112" s="5">
        <v>2110</v>
      </c>
      <c r="B2112" s="5" t="str">
        <f>"36412022010421212781688"</f>
        <v>36412022010421212781688</v>
      </c>
      <c r="C2112" s="5" t="s">
        <v>35</v>
      </c>
      <c r="D2112" s="5" t="str">
        <f>"王媛媛"</f>
        <v>王媛媛</v>
      </c>
      <c r="E2112" s="5" t="str">
        <f t="shared" si="218"/>
        <v>女</v>
      </c>
      <c r="F2112" s="5" t="str">
        <f>"黎族"</f>
        <v>黎族</v>
      </c>
    </row>
    <row r="2113" ht="30" customHeight="1" spans="1:6">
      <c r="A2113" s="5">
        <v>2111</v>
      </c>
      <c r="B2113" s="5" t="str">
        <f>"36412022010421421781768"</f>
        <v>36412022010421421781768</v>
      </c>
      <c r="C2113" s="5" t="s">
        <v>35</v>
      </c>
      <c r="D2113" s="5" t="str">
        <f>"王敏"</f>
        <v>王敏</v>
      </c>
      <c r="E2113" s="5" t="str">
        <f t="shared" si="218"/>
        <v>女</v>
      </c>
      <c r="F2113" s="5" t="str">
        <f>"汉族"</f>
        <v>汉族</v>
      </c>
    </row>
    <row r="2114" ht="30" customHeight="1" spans="1:6">
      <c r="A2114" s="5">
        <v>2112</v>
      </c>
      <c r="B2114" s="5" t="str">
        <f>"36412022010421523181805"</f>
        <v>36412022010421523181805</v>
      </c>
      <c r="C2114" s="5" t="s">
        <v>35</v>
      </c>
      <c r="D2114" s="5" t="str">
        <f>"王樱抚"</f>
        <v>王樱抚</v>
      </c>
      <c r="E2114" s="5" t="str">
        <f t="shared" si="218"/>
        <v>女</v>
      </c>
      <c r="F2114" s="5" t="str">
        <f>"汉族"</f>
        <v>汉族</v>
      </c>
    </row>
    <row r="2115" ht="30" customHeight="1" spans="1:6">
      <c r="A2115" s="5">
        <v>2113</v>
      </c>
      <c r="B2115" s="5" t="str">
        <f>"36412022010422025381844"</f>
        <v>36412022010422025381844</v>
      </c>
      <c r="C2115" s="5" t="s">
        <v>35</v>
      </c>
      <c r="D2115" s="5" t="str">
        <f>"周春燕"</f>
        <v>周春燕</v>
      </c>
      <c r="E2115" s="5" t="str">
        <f t="shared" si="218"/>
        <v>女</v>
      </c>
      <c r="F2115" s="5" t="str">
        <f>"汉族"</f>
        <v>汉族</v>
      </c>
    </row>
    <row r="2116" ht="30" customHeight="1" spans="1:6">
      <c r="A2116" s="5">
        <v>2114</v>
      </c>
      <c r="B2116" s="5" t="str">
        <f>"36412022010422574482055"</f>
        <v>36412022010422574482055</v>
      </c>
      <c r="C2116" s="5" t="s">
        <v>35</v>
      </c>
      <c r="D2116" s="5" t="str">
        <f>"莫品晶"</f>
        <v>莫品晶</v>
      </c>
      <c r="E2116" s="5" t="str">
        <f t="shared" si="218"/>
        <v>女</v>
      </c>
      <c r="F2116" s="5" t="str">
        <f>"汉族"</f>
        <v>汉族</v>
      </c>
    </row>
    <row r="2117" ht="30" customHeight="1" spans="1:6">
      <c r="A2117" s="5">
        <v>2115</v>
      </c>
      <c r="B2117" s="5" t="str">
        <f>"36412022010423213782124"</f>
        <v>36412022010423213782124</v>
      </c>
      <c r="C2117" s="5" t="s">
        <v>35</v>
      </c>
      <c r="D2117" s="5" t="str">
        <f>"黄婷婷"</f>
        <v>黄婷婷</v>
      </c>
      <c r="E2117" s="5" t="str">
        <f t="shared" si="218"/>
        <v>女</v>
      </c>
      <c r="F2117" s="5" t="str">
        <f>"黎族"</f>
        <v>黎族</v>
      </c>
    </row>
    <row r="2118" ht="30" customHeight="1" spans="1:6">
      <c r="A2118" s="5">
        <v>2116</v>
      </c>
      <c r="B2118" s="5" t="str">
        <f>"36412022010423424582183"</f>
        <v>36412022010423424582183</v>
      </c>
      <c r="C2118" s="5" t="s">
        <v>35</v>
      </c>
      <c r="D2118" s="5" t="str">
        <f>"孙玲"</f>
        <v>孙玲</v>
      </c>
      <c r="E2118" s="5" t="str">
        <f t="shared" si="218"/>
        <v>女</v>
      </c>
      <c r="F2118" s="5" t="str">
        <f>"汉族"</f>
        <v>汉族</v>
      </c>
    </row>
    <row r="2119" ht="30" customHeight="1" spans="1:6">
      <c r="A2119" s="5">
        <v>2117</v>
      </c>
      <c r="B2119" s="5" t="str">
        <f>"36412022010509342582684"</f>
        <v>36412022010509342582684</v>
      </c>
      <c r="C2119" s="5" t="s">
        <v>35</v>
      </c>
      <c r="D2119" s="5" t="str">
        <f>"林德焱"</f>
        <v>林德焱</v>
      </c>
      <c r="E2119" s="5" t="str">
        <f t="shared" si="218"/>
        <v>女</v>
      </c>
      <c r="F2119" s="5" t="str">
        <f>"黎族"</f>
        <v>黎族</v>
      </c>
    </row>
    <row r="2120" ht="30" customHeight="1" spans="1:6">
      <c r="A2120" s="5">
        <v>2118</v>
      </c>
      <c r="B2120" s="5" t="str">
        <f>"36412022010509404482718"</f>
        <v>36412022010509404482718</v>
      </c>
      <c r="C2120" s="5" t="s">
        <v>35</v>
      </c>
      <c r="D2120" s="5" t="str">
        <f>"陈德嫒"</f>
        <v>陈德嫒</v>
      </c>
      <c r="E2120" s="5" t="str">
        <f t="shared" si="218"/>
        <v>女</v>
      </c>
      <c r="F2120" s="5" t="str">
        <f t="shared" ref="F2120:F2137" si="221">"汉族"</f>
        <v>汉族</v>
      </c>
    </row>
    <row r="2121" ht="30" customHeight="1" spans="1:6">
      <c r="A2121" s="5">
        <v>2119</v>
      </c>
      <c r="B2121" s="5" t="str">
        <f>"36412022010510305883058"</f>
        <v>36412022010510305883058</v>
      </c>
      <c r="C2121" s="5" t="s">
        <v>35</v>
      </c>
      <c r="D2121" s="5" t="str">
        <f>"黎春苗"</f>
        <v>黎春苗</v>
      </c>
      <c r="E2121" s="5" t="str">
        <f t="shared" si="218"/>
        <v>女</v>
      </c>
      <c r="F2121" s="5" t="str">
        <f t="shared" si="221"/>
        <v>汉族</v>
      </c>
    </row>
    <row r="2122" ht="30" customHeight="1" spans="1:6">
      <c r="A2122" s="5">
        <v>2120</v>
      </c>
      <c r="B2122" s="5" t="str">
        <f>"36412022010510594883264"</f>
        <v>36412022010510594883264</v>
      </c>
      <c r="C2122" s="5" t="s">
        <v>35</v>
      </c>
      <c r="D2122" s="5" t="str">
        <f>"陈妹女"</f>
        <v>陈妹女</v>
      </c>
      <c r="E2122" s="5" t="str">
        <f t="shared" si="218"/>
        <v>女</v>
      </c>
      <c r="F2122" s="5" t="str">
        <f t="shared" si="221"/>
        <v>汉族</v>
      </c>
    </row>
    <row r="2123" ht="30" customHeight="1" spans="1:6">
      <c r="A2123" s="5">
        <v>2121</v>
      </c>
      <c r="B2123" s="5" t="str">
        <f>"36412022010511052383305"</f>
        <v>36412022010511052383305</v>
      </c>
      <c r="C2123" s="5" t="s">
        <v>35</v>
      </c>
      <c r="D2123" s="5" t="str">
        <f>"陈盛美"</f>
        <v>陈盛美</v>
      </c>
      <c r="E2123" s="5" t="str">
        <f t="shared" si="218"/>
        <v>女</v>
      </c>
      <c r="F2123" s="5" t="str">
        <f t="shared" si="221"/>
        <v>汉族</v>
      </c>
    </row>
    <row r="2124" ht="30" customHeight="1" spans="1:6">
      <c r="A2124" s="5">
        <v>2122</v>
      </c>
      <c r="B2124" s="5" t="str">
        <f>"36412022010511405383514"</f>
        <v>36412022010511405383514</v>
      </c>
      <c r="C2124" s="5" t="s">
        <v>35</v>
      </c>
      <c r="D2124" s="5" t="str">
        <f>"朱丽欣"</f>
        <v>朱丽欣</v>
      </c>
      <c r="E2124" s="5" t="str">
        <f t="shared" si="218"/>
        <v>女</v>
      </c>
      <c r="F2124" s="5" t="str">
        <f t="shared" si="221"/>
        <v>汉族</v>
      </c>
    </row>
    <row r="2125" ht="30" customHeight="1" spans="1:6">
      <c r="A2125" s="5">
        <v>2123</v>
      </c>
      <c r="B2125" s="5" t="str">
        <f>"36412022010512245483717"</f>
        <v>36412022010512245483717</v>
      </c>
      <c r="C2125" s="5" t="s">
        <v>35</v>
      </c>
      <c r="D2125" s="5" t="str">
        <f>"许红豆"</f>
        <v>许红豆</v>
      </c>
      <c r="E2125" s="5" t="str">
        <f t="shared" si="218"/>
        <v>女</v>
      </c>
      <c r="F2125" s="5" t="str">
        <f t="shared" si="221"/>
        <v>汉族</v>
      </c>
    </row>
    <row r="2126" ht="30" customHeight="1" spans="1:6">
      <c r="A2126" s="5">
        <v>2124</v>
      </c>
      <c r="B2126" s="5" t="str">
        <f>"36412022010513433384082"</f>
        <v>36412022010513433384082</v>
      </c>
      <c r="C2126" s="5" t="s">
        <v>35</v>
      </c>
      <c r="D2126" s="5" t="str">
        <f>"陈秀佳"</f>
        <v>陈秀佳</v>
      </c>
      <c r="E2126" s="5" t="str">
        <f t="shared" si="218"/>
        <v>女</v>
      </c>
      <c r="F2126" s="5" t="str">
        <f t="shared" si="221"/>
        <v>汉族</v>
      </c>
    </row>
    <row r="2127" ht="30" customHeight="1" spans="1:6">
      <c r="A2127" s="5">
        <v>2125</v>
      </c>
      <c r="B2127" s="5" t="str">
        <f>"36412022010514240184260"</f>
        <v>36412022010514240184260</v>
      </c>
      <c r="C2127" s="5" t="s">
        <v>35</v>
      </c>
      <c r="D2127" s="5" t="str">
        <f>"符有妹"</f>
        <v>符有妹</v>
      </c>
      <c r="E2127" s="5" t="str">
        <f t="shared" si="218"/>
        <v>女</v>
      </c>
      <c r="F2127" s="5" t="str">
        <f t="shared" si="221"/>
        <v>汉族</v>
      </c>
    </row>
    <row r="2128" ht="30" customHeight="1" spans="1:6">
      <c r="A2128" s="5">
        <v>2126</v>
      </c>
      <c r="B2128" s="5" t="str">
        <f>"36412022010515211784561"</f>
        <v>36412022010515211784561</v>
      </c>
      <c r="C2128" s="5" t="s">
        <v>35</v>
      </c>
      <c r="D2128" s="5" t="str">
        <f>"陈文慧"</f>
        <v>陈文慧</v>
      </c>
      <c r="E2128" s="5" t="str">
        <f t="shared" si="218"/>
        <v>女</v>
      </c>
      <c r="F2128" s="5" t="str">
        <f t="shared" si="221"/>
        <v>汉族</v>
      </c>
    </row>
    <row r="2129" ht="30" customHeight="1" spans="1:6">
      <c r="A2129" s="5">
        <v>2127</v>
      </c>
      <c r="B2129" s="5" t="str">
        <f>"36412022010515540784768"</f>
        <v>36412022010515540784768</v>
      </c>
      <c r="C2129" s="5" t="s">
        <v>35</v>
      </c>
      <c r="D2129" s="5" t="str">
        <f>"王丹"</f>
        <v>王丹</v>
      </c>
      <c r="E2129" s="5" t="str">
        <f t="shared" si="218"/>
        <v>女</v>
      </c>
      <c r="F2129" s="5" t="str">
        <f t="shared" si="221"/>
        <v>汉族</v>
      </c>
    </row>
    <row r="2130" ht="30" customHeight="1" spans="1:6">
      <c r="A2130" s="5">
        <v>2128</v>
      </c>
      <c r="B2130" s="5" t="str">
        <f>"36412022010518472685520"</f>
        <v>36412022010518472685520</v>
      </c>
      <c r="C2130" s="5" t="s">
        <v>35</v>
      </c>
      <c r="D2130" s="5" t="str">
        <f>"薛冬萍"</f>
        <v>薛冬萍</v>
      </c>
      <c r="E2130" s="5" t="str">
        <f t="shared" si="218"/>
        <v>女</v>
      </c>
      <c r="F2130" s="5" t="str">
        <f t="shared" si="221"/>
        <v>汉族</v>
      </c>
    </row>
    <row r="2131" ht="30" customHeight="1" spans="1:6">
      <c r="A2131" s="5">
        <v>2129</v>
      </c>
      <c r="B2131" s="5" t="str">
        <f>"36412022010520220385907"</f>
        <v>36412022010520220385907</v>
      </c>
      <c r="C2131" s="5" t="s">
        <v>35</v>
      </c>
      <c r="D2131" s="5" t="str">
        <f>"陶玲"</f>
        <v>陶玲</v>
      </c>
      <c r="E2131" s="5" t="str">
        <f t="shared" si="218"/>
        <v>女</v>
      </c>
      <c r="F2131" s="5" t="str">
        <f t="shared" si="221"/>
        <v>汉族</v>
      </c>
    </row>
    <row r="2132" ht="30" customHeight="1" spans="1:6">
      <c r="A2132" s="5">
        <v>2130</v>
      </c>
      <c r="B2132" s="5" t="str">
        <f>"36412022010520540386040"</f>
        <v>36412022010520540386040</v>
      </c>
      <c r="C2132" s="5" t="s">
        <v>35</v>
      </c>
      <c r="D2132" s="5" t="str">
        <f>"姜金雨"</f>
        <v>姜金雨</v>
      </c>
      <c r="E2132" s="5" t="str">
        <f t="shared" si="218"/>
        <v>女</v>
      </c>
      <c r="F2132" s="5" t="str">
        <f t="shared" si="221"/>
        <v>汉族</v>
      </c>
    </row>
    <row r="2133" ht="30" customHeight="1" spans="1:6">
      <c r="A2133" s="5">
        <v>2131</v>
      </c>
      <c r="B2133" s="5" t="str">
        <f>"36412022010521350986245"</f>
        <v>36412022010521350986245</v>
      </c>
      <c r="C2133" s="5" t="s">
        <v>35</v>
      </c>
      <c r="D2133" s="5" t="str">
        <f>"蔡雪薇"</f>
        <v>蔡雪薇</v>
      </c>
      <c r="E2133" s="5" t="str">
        <f t="shared" si="218"/>
        <v>女</v>
      </c>
      <c r="F2133" s="5" t="str">
        <f t="shared" si="221"/>
        <v>汉族</v>
      </c>
    </row>
    <row r="2134" ht="30" customHeight="1" spans="1:6">
      <c r="A2134" s="5">
        <v>2132</v>
      </c>
      <c r="B2134" s="5" t="str">
        <f>"36412022010521372786258"</f>
        <v>36412022010521372786258</v>
      </c>
      <c r="C2134" s="5" t="s">
        <v>35</v>
      </c>
      <c r="D2134" s="5" t="str">
        <f>"江文珠"</f>
        <v>江文珠</v>
      </c>
      <c r="E2134" s="5" t="str">
        <f t="shared" si="218"/>
        <v>女</v>
      </c>
      <c r="F2134" s="5" t="str">
        <f t="shared" si="221"/>
        <v>汉族</v>
      </c>
    </row>
    <row r="2135" ht="30" customHeight="1" spans="1:6">
      <c r="A2135" s="5">
        <v>2133</v>
      </c>
      <c r="B2135" s="5" t="str">
        <f>"36412022010521412486287"</f>
        <v>36412022010521412486287</v>
      </c>
      <c r="C2135" s="5" t="s">
        <v>35</v>
      </c>
      <c r="D2135" s="5" t="str">
        <f>"吴金慧"</f>
        <v>吴金慧</v>
      </c>
      <c r="E2135" s="5" t="str">
        <f t="shared" si="218"/>
        <v>女</v>
      </c>
      <c r="F2135" s="5" t="str">
        <f t="shared" si="221"/>
        <v>汉族</v>
      </c>
    </row>
    <row r="2136" ht="30" customHeight="1" spans="1:6">
      <c r="A2136" s="5">
        <v>2134</v>
      </c>
      <c r="B2136" s="5" t="str">
        <f>"36412022010523320886653"</f>
        <v>36412022010523320886653</v>
      </c>
      <c r="C2136" s="5" t="s">
        <v>35</v>
      </c>
      <c r="D2136" s="5" t="str">
        <f>"罗童心"</f>
        <v>罗童心</v>
      </c>
      <c r="E2136" s="5" t="str">
        <f t="shared" si="218"/>
        <v>女</v>
      </c>
      <c r="F2136" s="5" t="str">
        <f t="shared" si="221"/>
        <v>汉族</v>
      </c>
    </row>
    <row r="2137" ht="30" customHeight="1" spans="1:6">
      <c r="A2137" s="5">
        <v>2135</v>
      </c>
      <c r="B2137" s="5" t="str">
        <f>"36412022010523370386661"</f>
        <v>36412022010523370386661</v>
      </c>
      <c r="C2137" s="5" t="s">
        <v>35</v>
      </c>
      <c r="D2137" s="5" t="str">
        <f>"文莉"</f>
        <v>文莉</v>
      </c>
      <c r="E2137" s="5" t="str">
        <f t="shared" si="218"/>
        <v>女</v>
      </c>
      <c r="F2137" s="5" t="str">
        <f t="shared" si="221"/>
        <v>汉族</v>
      </c>
    </row>
    <row r="2138" ht="30" customHeight="1" spans="1:6">
      <c r="A2138" s="5">
        <v>2136</v>
      </c>
      <c r="B2138" s="5" t="str">
        <f>"36412022010523392886670"</f>
        <v>36412022010523392886670</v>
      </c>
      <c r="C2138" s="5" t="s">
        <v>35</v>
      </c>
      <c r="D2138" s="5" t="str">
        <f>"何影"</f>
        <v>何影</v>
      </c>
      <c r="E2138" s="5" t="str">
        <f t="shared" si="218"/>
        <v>女</v>
      </c>
      <c r="F2138" s="5" t="str">
        <f>"黎族"</f>
        <v>黎族</v>
      </c>
    </row>
    <row r="2139" ht="30" customHeight="1" spans="1:6">
      <c r="A2139" s="5">
        <v>2137</v>
      </c>
      <c r="B2139" s="5" t="str">
        <f>"36412022010602030086796"</f>
        <v>36412022010602030086796</v>
      </c>
      <c r="C2139" s="5" t="s">
        <v>35</v>
      </c>
      <c r="D2139" s="5" t="str">
        <f>"倪小娟"</f>
        <v>倪小娟</v>
      </c>
      <c r="E2139" s="5" t="str">
        <f t="shared" si="218"/>
        <v>女</v>
      </c>
      <c r="F2139" s="5" t="str">
        <f>"汉族"</f>
        <v>汉族</v>
      </c>
    </row>
    <row r="2140" ht="30" customHeight="1" spans="1:6">
      <c r="A2140" s="5">
        <v>2138</v>
      </c>
      <c r="B2140" s="5" t="str">
        <f>"36412022010602043386797"</f>
        <v>36412022010602043386797</v>
      </c>
      <c r="C2140" s="5" t="s">
        <v>35</v>
      </c>
      <c r="D2140" s="5" t="str">
        <f>"白钰冰"</f>
        <v>白钰冰</v>
      </c>
      <c r="E2140" s="5" t="str">
        <f t="shared" si="218"/>
        <v>女</v>
      </c>
      <c r="F2140" s="5" t="str">
        <f>"汉族"</f>
        <v>汉族</v>
      </c>
    </row>
    <row r="2141" ht="30" customHeight="1" spans="1:6">
      <c r="A2141" s="5">
        <v>2139</v>
      </c>
      <c r="B2141" s="5" t="str">
        <f>"36412022010609161587005"</f>
        <v>36412022010609161587005</v>
      </c>
      <c r="C2141" s="5" t="s">
        <v>35</v>
      </c>
      <c r="D2141" s="5" t="str">
        <f>"张鑫"</f>
        <v>张鑫</v>
      </c>
      <c r="E2141" s="5" t="str">
        <f>"男"</f>
        <v>男</v>
      </c>
      <c r="F2141" s="5" t="str">
        <f>"汉族"</f>
        <v>汉族</v>
      </c>
    </row>
    <row r="2142" ht="30" customHeight="1" spans="1:6">
      <c r="A2142" s="5">
        <v>2140</v>
      </c>
      <c r="B2142" s="5" t="str">
        <f>"36412022010609290387066"</f>
        <v>36412022010609290387066</v>
      </c>
      <c r="C2142" s="5" t="s">
        <v>35</v>
      </c>
      <c r="D2142" s="5" t="str">
        <f>"叶木青"</f>
        <v>叶木青</v>
      </c>
      <c r="E2142" s="5" t="str">
        <f t="shared" ref="E2142:E2153" si="222">"女"</f>
        <v>女</v>
      </c>
      <c r="F2142" s="5" t="str">
        <f>"黎族"</f>
        <v>黎族</v>
      </c>
    </row>
    <row r="2143" ht="30" customHeight="1" spans="1:6">
      <c r="A2143" s="5">
        <v>2141</v>
      </c>
      <c r="B2143" s="5" t="str">
        <f>"36412022010610220687321"</f>
        <v>36412022010610220687321</v>
      </c>
      <c r="C2143" s="5" t="s">
        <v>35</v>
      </c>
      <c r="D2143" s="5" t="str">
        <f>"郑学彩"</f>
        <v>郑学彩</v>
      </c>
      <c r="E2143" s="5" t="str">
        <f t="shared" si="222"/>
        <v>女</v>
      </c>
      <c r="F2143" s="5" t="str">
        <f>"汉族"</f>
        <v>汉族</v>
      </c>
    </row>
    <row r="2144" ht="30" customHeight="1" spans="1:6">
      <c r="A2144" s="5">
        <v>2142</v>
      </c>
      <c r="B2144" s="5" t="str">
        <f>"36412022010612522187980"</f>
        <v>36412022010612522187980</v>
      </c>
      <c r="C2144" s="5" t="s">
        <v>35</v>
      </c>
      <c r="D2144" s="5" t="str">
        <f>"符锡垦"</f>
        <v>符锡垦</v>
      </c>
      <c r="E2144" s="5" t="str">
        <f t="shared" si="222"/>
        <v>女</v>
      </c>
      <c r="F2144" s="5" t="str">
        <f>"黎族"</f>
        <v>黎族</v>
      </c>
    </row>
    <row r="2145" ht="30" customHeight="1" spans="1:6">
      <c r="A2145" s="5">
        <v>2143</v>
      </c>
      <c r="B2145" s="5" t="str">
        <f>"36412022010616142588821"</f>
        <v>36412022010616142588821</v>
      </c>
      <c r="C2145" s="5" t="s">
        <v>35</v>
      </c>
      <c r="D2145" s="5" t="str">
        <f>"文梅燕"</f>
        <v>文梅燕</v>
      </c>
      <c r="E2145" s="5" t="str">
        <f t="shared" si="222"/>
        <v>女</v>
      </c>
      <c r="F2145" s="5" t="str">
        <f>"汉族"</f>
        <v>汉族</v>
      </c>
    </row>
    <row r="2146" ht="30" customHeight="1" spans="1:6">
      <c r="A2146" s="5">
        <v>2144</v>
      </c>
      <c r="B2146" s="5" t="str">
        <f>"36412022010616264588887"</f>
        <v>36412022010616264588887</v>
      </c>
      <c r="C2146" s="5" t="s">
        <v>35</v>
      </c>
      <c r="D2146" s="5" t="str">
        <f>"陈小青"</f>
        <v>陈小青</v>
      </c>
      <c r="E2146" s="5" t="str">
        <f t="shared" si="222"/>
        <v>女</v>
      </c>
      <c r="F2146" s="5" t="str">
        <f>"汉族"</f>
        <v>汉族</v>
      </c>
    </row>
    <row r="2147" ht="30" customHeight="1" spans="1:6">
      <c r="A2147" s="5">
        <v>2145</v>
      </c>
      <c r="B2147" s="5" t="str">
        <f>"36412022010616573289018"</f>
        <v>36412022010616573289018</v>
      </c>
      <c r="C2147" s="5" t="s">
        <v>35</v>
      </c>
      <c r="D2147" s="5" t="str">
        <f>"王嫚妮"</f>
        <v>王嫚妮</v>
      </c>
      <c r="E2147" s="5" t="str">
        <f t="shared" si="222"/>
        <v>女</v>
      </c>
      <c r="F2147" s="5" t="str">
        <f>"汉族"</f>
        <v>汉族</v>
      </c>
    </row>
    <row r="2148" ht="30" customHeight="1" spans="1:6">
      <c r="A2148" s="5">
        <v>2146</v>
      </c>
      <c r="B2148" s="5" t="str">
        <f>"36412022010617432489187"</f>
        <v>36412022010617432489187</v>
      </c>
      <c r="C2148" s="5" t="s">
        <v>35</v>
      </c>
      <c r="D2148" s="5" t="str">
        <f>"符岚紫"</f>
        <v>符岚紫</v>
      </c>
      <c r="E2148" s="5" t="str">
        <f t="shared" si="222"/>
        <v>女</v>
      </c>
      <c r="F2148" s="5" t="str">
        <f>"黎族"</f>
        <v>黎族</v>
      </c>
    </row>
    <row r="2149" ht="30" customHeight="1" spans="1:6">
      <c r="A2149" s="5">
        <v>2147</v>
      </c>
      <c r="B2149" s="5" t="str">
        <f>"36412022010619432689556"</f>
        <v>36412022010619432689556</v>
      </c>
      <c r="C2149" s="5" t="s">
        <v>35</v>
      </c>
      <c r="D2149" s="5" t="str">
        <f>"王兴露"</f>
        <v>王兴露</v>
      </c>
      <c r="E2149" s="5" t="str">
        <f t="shared" si="222"/>
        <v>女</v>
      </c>
      <c r="F2149" s="5" t="str">
        <f>"汉族"</f>
        <v>汉族</v>
      </c>
    </row>
    <row r="2150" ht="30" customHeight="1" spans="1:6">
      <c r="A2150" s="5">
        <v>2148</v>
      </c>
      <c r="B2150" s="5" t="str">
        <f>"36412022010620012089630"</f>
        <v>36412022010620012089630</v>
      </c>
      <c r="C2150" s="5" t="s">
        <v>35</v>
      </c>
      <c r="D2150" s="5" t="str">
        <f>"符秀妹"</f>
        <v>符秀妹</v>
      </c>
      <c r="E2150" s="5" t="str">
        <f t="shared" si="222"/>
        <v>女</v>
      </c>
      <c r="F2150" s="5" t="str">
        <f>"汉族"</f>
        <v>汉族</v>
      </c>
    </row>
    <row r="2151" ht="30" customHeight="1" spans="1:6">
      <c r="A2151" s="5">
        <v>2149</v>
      </c>
      <c r="B2151" s="5" t="str">
        <f>"36412022010620200689703"</f>
        <v>36412022010620200689703</v>
      </c>
      <c r="C2151" s="5" t="s">
        <v>35</v>
      </c>
      <c r="D2151" s="5" t="str">
        <f>"何井美"</f>
        <v>何井美</v>
      </c>
      <c r="E2151" s="5" t="str">
        <f t="shared" si="222"/>
        <v>女</v>
      </c>
      <c r="F2151" s="5" t="str">
        <f>"汉族"</f>
        <v>汉族</v>
      </c>
    </row>
    <row r="2152" ht="30" customHeight="1" spans="1:6">
      <c r="A2152" s="5">
        <v>2150</v>
      </c>
      <c r="B2152" s="5" t="str">
        <f>"36412022010620261689733"</f>
        <v>36412022010620261689733</v>
      </c>
      <c r="C2152" s="5" t="s">
        <v>35</v>
      </c>
      <c r="D2152" s="5" t="str">
        <f>"梁姑美"</f>
        <v>梁姑美</v>
      </c>
      <c r="E2152" s="5" t="str">
        <f t="shared" si="222"/>
        <v>女</v>
      </c>
      <c r="F2152" s="5" t="str">
        <f>"汉族"</f>
        <v>汉族</v>
      </c>
    </row>
    <row r="2153" ht="30" customHeight="1" spans="1:6">
      <c r="A2153" s="5">
        <v>2151</v>
      </c>
      <c r="B2153" s="5" t="str">
        <f>"36412022010621282289944"</f>
        <v>36412022010621282289944</v>
      </c>
      <c r="C2153" s="5" t="s">
        <v>35</v>
      </c>
      <c r="D2153" s="5" t="str">
        <f>"吴英妹"</f>
        <v>吴英妹</v>
      </c>
      <c r="E2153" s="5" t="str">
        <f t="shared" si="222"/>
        <v>女</v>
      </c>
      <c r="F2153" s="5" t="str">
        <f>"苗族"</f>
        <v>苗族</v>
      </c>
    </row>
    <row r="2154" ht="30" customHeight="1" spans="1:6">
      <c r="A2154" s="5">
        <v>2152</v>
      </c>
      <c r="B2154" s="5" t="str">
        <f>"36412022010621464390008"</f>
        <v>36412022010621464390008</v>
      </c>
      <c r="C2154" s="5" t="s">
        <v>35</v>
      </c>
      <c r="D2154" s="5" t="str">
        <f>"黄家俊"</f>
        <v>黄家俊</v>
      </c>
      <c r="E2154" s="5" t="str">
        <f>"男"</f>
        <v>男</v>
      </c>
      <c r="F2154" s="5" t="str">
        <f>"黎族"</f>
        <v>黎族</v>
      </c>
    </row>
    <row r="2155" ht="30" customHeight="1" spans="1:6">
      <c r="A2155" s="5">
        <v>2153</v>
      </c>
      <c r="B2155" s="5" t="str">
        <f>"36412022010622030490063"</f>
        <v>36412022010622030490063</v>
      </c>
      <c r="C2155" s="5" t="s">
        <v>35</v>
      </c>
      <c r="D2155" s="5" t="str">
        <f>"欧阳琳"</f>
        <v>欧阳琳</v>
      </c>
      <c r="E2155" s="5" t="str">
        <f t="shared" ref="E2155:E2193" si="223">"女"</f>
        <v>女</v>
      </c>
      <c r="F2155" s="5" t="str">
        <f t="shared" ref="F2155:F2164" si="224">"汉族"</f>
        <v>汉族</v>
      </c>
    </row>
    <row r="2156" ht="30" customHeight="1" spans="1:6">
      <c r="A2156" s="5">
        <v>2154</v>
      </c>
      <c r="B2156" s="5" t="str">
        <f>"36412022010622525390232"</f>
        <v>36412022010622525390232</v>
      </c>
      <c r="C2156" s="5" t="s">
        <v>35</v>
      </c>
      <c r="D2156" s="5" t="str">
        <f>"廖殷"</f>
        <v>廖殷</v>
      </c>
      <c r="E2156" s="5" t="str">
        <f t="shared" si="223"/>
        <v>女</v>
      </c>
      <c r="F2156" s="5" t="str">
        <f t="shared" si="224"/>
        <v>汉族</v>
      </c>
    </row>
    <row r="2157" ht="30" customHeight="1" spans="1:6">
      <c r="A2157" s="5">
        <v>2155</v>
      </c>
      <c r="B2157" s="5" t="str">
        <f>"36412022010700435490418"</f>
        <v>36412022010700435490418</v>
      </c>
      <c r="C2157" s="5" t="s">
        <v>35</v>
      </c>
      <c r="D2157" s="5" t="str">
        <f>"朱美妃"</f>
        <v>朱美妃</v>
      </c>
      <c r="E2157" s="5" t="str">
        <f t="shared" si="223"/>
        <v>女</v>
      </c>
      <c r="F2157" s="5" t="str">
        <f t="shared" si="224"/>
        <v>汉族</v>
      </c>
    </row>
    <row r="2158" ht="30" customHeight="1" spans="1:6">
      <c r="A2158" s="5">
        <v>2156</v>
      </c>
      <c r="B2158" s="5" t="str">
        <f>"36412022010701264190440"</f>
        <v>36412022010701264190440</v>
      </c>
      <c r="C2158" s="5" t="s">
        <v>35</v>
      </c>
      <c r="D2158" s="5" t="str">
        <f>"陈婷"</f>
        <v>陈婷</v>
      </c>
      <c r="E2158" s="5" t="str">
        <f t="shared" si="223"/>
        <v>女</v>
      </c>
      <c r="F2158" s="5" t="str">
        <f t="shared" si="224"/>
        <v>汉族</v>
      </c>
    </row>
    <row r="2159" ht="30" customHeight="1" spans="1:6">
      <c r="A2159" s="5">
        <v>2157</v>
      </c>
      <c r="B2159" s="5" t="str">
        <f>"36412022010708282390536"</f>
        <v>36412022010708282390536</v>
      </c>
      <c r="C2159" s="5" t="s">
        <v>35</v>
      </c>
      <c r="D2159" s="5" t="str">
        <f>"洪桂婷"</f>
        <v>洪桂婷</v>
      </c>
      <c r="E2159" s="5" t="str">
        <f t="shared" si="223"/>
        <v>女</v>
      </c>
      <c r="F2159" s="5" t="str">
        <f t="shared" si="224"/>
        <v>汉族</v>
      </c>
    </row>
    <row r="2160" ht="30" customHeight="1" spans="1:6">
      <c r="A2160" s="5">
        <v>2158</v>
      </c>
      <c r="B2160" s="5" t="str">
        <f>"36412022010708451290560"</f>
        <v>36412022010708451290560</v>
      </c>
      <c r="C2160" s="5" t="s">
        <v>35</v>
      </c>
      <c r="D2160" s="5" t="str">
        <f>"叶丽雨"</f>
        <v>叶丽雨</v>
      </c>
      <c r="E2160" s="5" t="str">
        <f t="shared" si="223"/>
        <v>女</v>
      </c>
      <c r="F2160" s="5" t="str">
        <f t="shared" si="224"/>
        <v>汉族</v>
      </c>
    </row>
    <row r="2161" ht="30" customHeight="1" spans="1:6">
      <c r="A2161" s="5">
        <v>2159</v>
      </c>
      <c r="B2161" s="5" t="str">
        <f>"36412022010710083290813"</f>
        <v>36412022010710083290813</v>
      </c>
      <c r="C2161" s="5" t="s">
        <v>35</v>
      </c>
      <c r="D2161" s="5" t="str">
        <f>"麦可茹"</f>
        <v>麦可茹</v>
      </c>
      <c r="E2161" s="5" t="str">
        <f t="shared" si="223"/>
        <v>女</v>
      </c>
      <c r="F2161" s="5" t="str">
        <f t="shared" si="224"/>
        <v>汉族</v>
      </c>
    </row>
    <row r="2162" ht="30" customHeight="1" spans="1:6">
      <c r="A2162" s="5">
        <v>2160</v>
      </c>
      <c r="B2162" s="5" t="str">
        <f>"36412022010710205390860"</f>
        <v>36412022010710205390860</v>
      </c>
      <c r="C2162" s="5" t="s">
        <v>35</v>
      </c>
      <c r="D2162" s="5" t="str">
        <f>"庄平和"</f>
        <v>庄平和</v>
      </c>
      <c r="E2162" s="5" t="str">
        <f t="shared" si="223"/>
        <v>女</v>
      </c>
      <c r="F2162" s="5" t="str">
        <f t="shared" si="224"/>
        <v>汉族</v>
      </c>
    </row>
    <row r="2163" ht="30" customHeight="1" spans="1:6">
      <c r="A2163" s="5">
        <v>2161</v>
      </c>
      <c r="B2163" s="5" t="str">
        <f>"36412022010711041491032"</f>
        <v>36412022010711041491032</v>
      </c>
      <c r="C2163" s="5" t="s">
        <v>35</v>
      </c>
      <c r="D2163" s="5" t="str">
        <f>"杨敏"</f>
        <v>杨敏</v>
      </c>
      <c r="E2163" s="5" t="str">
        <f t="shared" si="223"/>
        <v>女</v>
      </c>
      <c r="F2163" s="5" t="str">
        <f t="shared" si="224"/>
        <v>汉族</v>
      </c>
    </row>
    <row r="2164" ht="30" customHeight="1" spans="1:6">
      <c r="A2164" s="5">
        <v>2162</v>
      </c>
      <c r="B2164" s="5" t="str">
        <f>"36412022010711593891253"</f>
        <v>36412022010711593891253</v>
      </c>
      <c r="C2164" s="5" t="s">
        <v>35</v>
      </c>
      <c r="D2164" s="5" t="str">
        <f>"王晶"</f>
        <v>王晶</v>
      </c>
      <c r="E2164" s="5" t="str">
        <f t="shared" si="223"/>
        <v>女</v>
      </c>
      <c r="F2164" s="5" t="str">
        <f t="shared" si="224"/>
        <v>汉族</v>
      </c>
    </row>
    <row r="2165" ht="30" customHeight="1" spans="1:6">
      <c r="A2165" s="5">
        <v>2163</v>
      </c>
      <c r="B2165" s="5" t="str">
        <f>"36412022010715145891903"</f>
        <v>36412022010715145891903</v>
      </c>
      <c r="C2165" s="5" t="s">
        <v>35</v>
      </c>
      <c r="D2165" s="5" t="str">
        <f>"龙濡"</f>
        <v>龙濡</v>
      </c>
      <c r="E2165" s="5" t="str">
        <f t="shared" si="223"/>
        <v>女</v>
      </c>
      <c r="F2165" s="5" t="str">
        <f>"黎族"</f>
        <v>黎族</v>
      </c>
    </row>
    <row r="2166" ht="30" customHeight="1" spans="1:6">
      <c r="A2166" s="5">
        <v>2164</v>
      </c>
      <c r="B2166" s="5" t="str">
        <f>"36412022010716001392118"</f>
        <v>36412022010716001392118</v>
      </c>
      <c r="C2166" s="5" t="s">
        <v>35</v>
      </c>
      <c r="D2166" s="5" t="str">
        <f>"舒一"</f>
        <v>舒一</v>
      </c>
      <c r="E2166" s="5" t="str">
        <f t="shared" si="223"/>
        <v>女</v>
      </c>
      <c r="F2166" s="5" t="str">
        <f>"汉族"</f>
        <v>汉族</v>
      </c>
    </row>
    <row r="2167" ht="30" customHeight="1" spans="1:6">
      <c r="A2167" s="5">
        <v>2165</v>
      </c>
      <c r="B2167" s="5" t="str">
        <f>"36412022010716342892234"</f>
        <v>36412022010716342892234</v>
      </c>
      <c r="C2167" s="5" t="s">
        <v>35</v>
      </c>
      <c r="D2167" s="5" t="str">
        <f>"钟琼君"</f>
        <v>钟琼君</v>
      </c>
      <c r="E2167" s="5" t="str">
        <f t="shared" si="223"/>
        <v>女</v>
      </c>
      <c r="F2167" s="5" t="str">
        <f>"汉族"</f>
        <v>汉族</v>
      </c>
    </row>
    <row r="2168" ht="30" customHeight="1" spans="1:6">
      <c r="A2168" s="5">
        <v>2166</v>
      </c>
      <c r="B2168" s="5" t="str">
        <f>"36412022010717031192337"</f>
        <v>36412022010717031192337</v>
      </c>
      <c r="C2168" s="5" t="s">
        <v>35</v>
      </c>
      <c r="D2168" s="5" t="str">
        <f>"文芳玲"</f>
        <v>文芳玲</v>
      </c>
      <c r="E2168" s="5" t="str">
        <f t="shared" si="223"/>
        <v>女</v>
      </c>
      <c r="F2168" s="5" t="str">
        <f>"汉族"</f>
        <v>汉族</v>
      </c>
    </row>
    <row r="2169" ht="30" customHeight="1" spans="1:6">
      <c r="A2169" s="5">
        <v>2167</v>
      </c>
      <c r="B2169" s="5" t="str">
        <f>"36412022010717190392392"</f>
        <v>36412022010717190392392</v>
      </c>
      <c r="C2169" s="5" t="s">
        <v>35</v>
      </c>
      <c r="D2169" s="5" t="str">
        <f>"张莎"</f>
        <v>张莎</v>
      </c>
      <c r="E2169" s="5" t="str">
        <f t="shared" si="223"/>
        <v>女</v>
      </c>
      <c r="F2169" s="5" t="str">
        <f>"黎族"</f>
        <v>黎族</v>
      </c>
    </row>
    <row r="2170" ht="30" customHeight="1" spans="1:6">
      <c r="A2170" s="5">
        <v>2168</v>
      </c>
      <c r="B2170" s="5" t="str">
        <f>"36412022010717423892450"</f>
        <v>36412022010717423892450</v>
      </c>
      <c r="C2170" s="5" t="s">
        <v>35</v>
      </c>
      <c r="D2170" s="5" t="str">
        <f>"雷珊"</f>
        <v>雷珊</v>
      </c>
      <c r="E2170" s="5" t="str">
        <f t="shared" si="223"/>
        <v>女</v>
      </c>
      <c r="F2170" s="5" t="str">
        <f>"汉族"</f>
        <v>汉族</v>
      </c>
    </row>
    <row r="2171" ht="30" customHeight="1" spans="1:6">
      <c r="A2171" s="5">
        <v>2169</v>
      </c>
      <c r="B2171" s="5" t="str">
        <f>"36412022010718204892516"</f>
        <v>36412022010718204892516</v>
      </c>
      <c r="C2171" s="5" t="s">
        <v>35</v>
      </c>
      <c r="D2171" s="5" t="str">
        <f>"余莉秋"</f>
        <v>余莉秋</v>
      </c>
      <c r="E2171" s="5" t="str">
        <f t="shared" si="223"/>
        <v>女</v>
      </c>
      <c r="F2171" s="5" t="str">
        <f>"汉族"</f>
        <v>汉族</v>
      </c>
    </row>
    <row r="2172" ht="30" customHeight="1" spans="1:6">
      <c r="A2172" s="5">
        <v>2170</v>
      </c>
      <c r="B2172" s="5" t="str">
        <f>"36412022010718355792550"</f>
        <v>36412022010718355792550</v>
      </c>
      <c r="C2172" s="5" t="s">
        <v>35</v>
      </c>
      <c r="D2172" s="5" t="str">
        <f>"陈嫔韵"</f>
        <v>陈嫔韵</v>
      </c>
      <c r="E2172" s="5" t="str">
        <f t="shared" si="223"/>
        <v>女</v>
      </c>
      <c r="F2172" s="5" t="str">
        <f>"汉族"</f>
        <v>汉族</v>
      </c>
    </row>
    <row r="2173" ht="30" customHeight="1" spans="1:6">
      <c r="A2173" s="5">
        <v>2171</v>
      </c>
      <c r="B2173" s="5" t="str">
        <f>"36412022010719450392667"</f>
        <v>36412022010719450392667</v>
      </c>
      <c r="C2173" s="5" t="s">
        <v>35</v>
      </c>
      <c r="D2173" s="5" t="str">
        <f>"吴靖佳"</f>
        <v>吴靖佳</v>
      </c>
      <c r="E2173" s="5" t="str">
        <f t="shared" si="223"/>
        <v>女</v>
      </c>
      <c r="F2173" s="5" t="str">
        <f>"壮族"</f>
        <v>壮族</v>
      </c>
    </row>
    <row r="2174" ht="30" customHeight="1" spans="1:6">
      <c r="A2174" s="5">
        <v>2172</v>
      </c>
      <c r="B2174" s="5" t="str">
        <f>"36412022010721375792862"</f>
        <v>36412022010721375792862</v>
      </c>
      <c r="C2174" s="5" t="s">
        <v>35</v>
      </c>
      <c r="D2174" s="5" t="str">
        <f>"高冰"</f>
        <v>高冰</v>
      </c>
      <c r="E2174" s="5" t="str">
        <f t="shared" si="223"/>
        <v>女</v>
      </c>
      <c r="F2174" s="5" t="str">
        <f>"汉族"</f>
        <v>汉族</v>
      </c>
    </row>
    <row r="2175" ht="30" customHeight="1" spans="1:6">
      <c r="A2175" s="5">
        <v>2173</v>
      </c>
      <c r="B2175" s="5" t="str">
        <f>"36412022010722100692920"</f>
        <v>36412022010722100692920</v>
      </c>
      <c r="C2175" s="5" t="s">
        <v>35</v>
      </c>
      <c r="D2175" s="5" t="str">
        <f>"符小芳"</f>
        <v>符小芳</v>
      </c>
      <c r="E2175" s="5" t="str">
        <f t="shared" si="223"/>
        <v>女</v>
      </c>
      <c r="F2175" s="5" t="str">
        <f>"黎族"</f>
        <v>黎族</v>
      </c>
    </row>
    <row r="2176" ht="30" customHeight="1" spans="1:6">
      <c r="A2176" s="5">
        <v>2174</v>
      </c>
      <c r="B2176" s="5" t="str">
        <f>"36412022010722171292933"</f>
        <v>36412022010722171292933</v>
      </c>
      <c r="C2176" s="5" t="s">
        <v>35</v>
      </c>
      <c r="D2176" s="5" t="str">
        <f>"唐梅欣"</f>
        <v>唐梅欣</v>
      </c>
      <c r="E2176" s="5" t="str">
        <f t="shared" si="223"/>
        <v>女</v>
      </c>
      <c r="F2176" s="5" t="str">
        <f>"汉族"</f>
        <v>汉族</v>
      </c>
    </row>
    <row r="2177" ht="30" customHeight="1" spans="1:6">
      <c r="A2177" s="5">
        <v>2175</v>
      </c>
      <c r="B2177" s="5" t="str">
        <f>"36412022010807325993090"</f>
        <v>36412022010807325993090</v>
      </c>
      <c r="C2177" s="5" t="s">
        <v>35</v>
      </c>
      <c r="D2177" s="5" t="str">
        <f>"李金英"</f>
        <v>李金英</v>
      </c>
      <c r="E2177" s="5" t="str">
        <f t="shared" si="223"/>
        <v>女</v>
      </c>
      <c r="F2177" s="5" t="str">
        <f>"汉族"</f>
        <v>汉族</v>
      </c>
    </row>
    <row r="2178" ht="30" customHeight="1" spans="1:6">
      <c r="A2178" s="5">
        <v>2176</v>
      </c>
      <c r="B2178" s="5" t="str">
        <f>"36412022010808312793107"</f>
        <v>36412022010808312793107</v>
      </c>
      <c r="C2178" s="5" t="s">
        <v>35</v>
      </c>
      <c r="D2178" s="5" t="str">
        <f>"周书蓉"</f>
        <v>周书蓉</v>
      </c>
      <c r="E2178" s="5" t="str">
        <f t="shared" si="223"/>
        <v>女</v>
      </c>
      <c r="F2178" s="5" t="str">
        <f>"汉族"</f>
        <v>汉族</v>
      </c>
    </row>
    <row r="2179" ht="30" customHeight="1" spans="1:6">
      <c r="A2179" s="5">
        <v>2177</v>
      </c>
      <c r="B2179" s="5" t="str">
        <f>"36412022010809292493149"</f>
        <v>36412022010809292493149</v>
      </c>
      <c r="C2179" s="5" t="s">
        <v>35</v>
      </c>
      <c r="D2179" s="5" t="str">
        <f>"文喜蓝"</f>
        <v>文喜蓝</v>
      </c>
      <c r="E2179" s="5" t="str">
        <f t="shared" si="223"/>
        <v>女</v>
      </c>
      <c r="F2179" s="5" t="str">
        <f>"黎族"</f>
        <v>黎族</v>
      </c>
    </row>
    <row r="2180" ht="30" customHeight="1" spans="1:6">
      <c r="A2180" s="5">
        <v>2178</v>
      </c>
      <c r="B2180" s="5" t="str">
        <f>"36412022010810411293230"</f>
        <v>36412022010810411293230</v>
      </c>
      <c r="C2180" s="5" t="s">
        <v>35</v>
      </c>
      <c r="D2180" s="5" t="str">
        <f>"陈理雲"</f>
        <v>陈理雲</v>
      </c>
      <c r="E2180" s="5" t="str">
        <f t="shared" si="223"/>
        <v>女</v>
      </c>
      <c r="F2180" s="5" t="str">
        <f>"汉族"</f>
        <v>汉族</v>
      </c>
    </row>
    <row r="2181" ht="30" customHeight="1" spans="1:6">
      <c r="A2181" s="5">
        <v>2179</v>
      </c>
      <c r="B2181" s="5" t="str">
        <f>"36412022010812093793359"</f>
        <v>36412022010812093793359</v>
      </c>
      <c r="C2181" s="5" t="s">
        <v>35</v>
      </c>
      <c r="D2181" s="5" t="str">
        <f>"李丽霞"</f>
        <v>李丽霞</v>
      </c>
      <c r="E2181" s="5" t="str">
        <f t="shared" si="223"/>
        <v>女</v>
      </c>
      <c r="F2181" s="5" t="str">
        <f>"汉族"</f>
        <v>汉族</v>
      </c>
    </row>
    <row r="2182" ht="30" customHeight="1" spans="1:6">
      <c r="A2182" s="5">
        <v>2180</v>
      </c>
      <c r="B2182" s="5" t="str">
        <f>"36412022010816322293736"</f>
        <v>36412022010816322293736</v>
      </c>
      <c r="C2182" s="5" t="s">
        <v>35</v>
      </c>
      <c r="D2182" s="5" t="str">
        <f>"曾丽芳"</f>
        <v>曾丽芳</v>
      </c>
      <c r="E2182" s="5" t="str">
        <f t="shared" si="223"/>
        <v>女</v>
      </c>
      <c r="F2182" s="5" t="str">
        <f>"黎族"</f>
        <v>黎族</v>
      </c>
    </row>
    <row r="2183" ht="30" customHeight="1" spans="1:6">
      <c r="A2183" s="5">
        <v>2181</v>
      </c>
      <c r="B2183" s="5" t="str">
        <f>"36412022010819245594003"</f>
        <v>36412022010819245594003</v>
      </c>
      <c r="C2183" s="5" t="s">
        <v>35</v>
      </c>
      <c r="D2183" s="5" t="str">
        <f>"陈小月"</f>
        <v>陈小月</v>
      </c>
      <c r="E2183" s="5" t="str">
        <f t="shared" si="223"/>
        <v>女</v>
      </c>
      <c r="F2183" s="5" t="str">
        <f t="shared" ref="F2183:F2188" si="225">"汉族"</f>
        <v>汉族</v>
      </c>
    </row>
    <row r="2184" ht="30" customHeight="1" spans="1:6">
      <c r="A2184" s="5">
        <v>2182</v>
      </c>
      <c r="B2184" s="5" t="str">
        <f>"36412022010820513794176"</f>
        <v>36412022010820513794176</v>
      </c>
      <c r="C2184" s="5" t="s">
        <v>35</v>
      </c>
      <c r="D2184" s="5" t="str">
        <f>"陈添园"</f>
        <v>陈添园</v>
      </c>
      <c r="E2184" s="5" t="str">
        <f t="shared" si="223"/>
        <v>女</v>
      </c>
      <c r="F2184" s="5" t="str">
        <f t="shared" si="225"/>
        <v>汉族</v>
      </c>
    </row>
    <row r="2185" ht="30" customHeight="1" spans="1:6">
      <c r="A2185" s="5">
        <v>2183</v>
      </c>
      <c r="B2185" s="5" t="str">
        <f>"36412022010821193094239"</f>
        <v>36412022010821193094239</v>
      </c>
      <c r="C2185" s="5" t="s">
        <v>35</v>
      </c>
      <c r="D2185" s="5" t="str">
        <f>"李祥梦"</f>
        <v>李祥梦</v>
      </c>
      <c r="E2185" s="5" t="str">
        <f t="shared" si="223"/>
        <v>女</v>
      </c>
      <c r="F2185" s="5" t="str">
        <f t="shared" si="225"/>
        <v>汉族</v>
      </c>
    </row>
    <row r="2186" ht="30" customHeight="1" spans="1:6">
      <c r="A2186" s="5">
        <v>2184</v>
      </c>
      <c r="B2186" s="5" t="str">
        <f>"36412022010823452894505"</f>
        <v>36412022010823452894505</v>
      </c>
      <c r="C2186" s="5" t="s">
        <v>35</v>
      </c>
      <c r="D2186" s="5" t="str">
        <f>"万容"</f>
        <v>万容</v>
      </c>
      <c r="E2186" s="5" t="str">
        <f t="shared" si="223"/>
        <v>女</v>
      </c>
      <c r="F2186" s="5" t="str">
        <f t="shared" si="225"/>
        <v>汉族</v>
      </c>
    </row>
    <row r="2187" ht="30" customHeight="1" spans="1:6">
      <c r="A2187" s="5">
        <v>2185</v>
      </c>
      <c r="B2187" s="5" t="str">
        <f>"36412022010823550394512"</f>
        <v>36412022010823550394512</v>
      </c>
      <c r="C2187" s="5" t="s">
        <v>35</v>
      </c>
      <c r="D2187" s="5" t="str">
        <f>"吴燕南"</f>
        <v>吴燕南</v>
      </c>
      <c r="E2187" s="5" t="str">
        <f t="shared" si="223"/>
        <v>女</v>
      </c>
      <c r="F2187" s="5" t="str">
        <f t="shared" si="225"/>
        <v>汉族</v>
      </c>
    </row>
    <row r="2188" ht="30" customHeight="1" spans="1:6">
      <c r="A2188" s="5">
        <v>2186</v>
      </c>
      <c r="B2188" s="5" t="str">
        <f>"36412022010911461994994"</f>
        <v>36412022010911461994994</v>
      </c>
      <c r="C2188" s="5" t="s">
        <v>35</v>
      </c>
      <c r="D2188" s="5" t="str">
        <f>"张君"</f>
        <v>张君</v>
      </c>
      <c r="E2188" s="5" t="str">
        <f t="shared" si="223"/>
        <v>女</v>
      </c>
      <c r="F2188" s="5" t="str">
        <f t="shared" si="225"/>
        <v>汉族</v>
      </c>
    </row>
    <row r="2189" ht="30" customHeight="1" spans="1:6">
      <c r="A2189" s="5">
        <v>2187</v>
      </c>
      <c r="B2189" s="5" t="str">
        <f>"36412022010912041195035"</f>
        <v>36412022010912041195035</v>
      </c>
      <c r="C2189" s="5" t="s">
        <v>35</v>
      </c>
      <c r="D2189" s="5" t="str">
        <f>"杨一婷"</f>
        <v>杨一婷</v>
      </c>
      <c r="E2189" s="5" t="str">
        <f t="shared" si="223"/>
        <v>女</v>
      </c>
      <c r="F2189" s="5" t="str">
        <f>"黎族"</f>
        <v>黎族</v>
      </c>
    </row>
    <row r="2190" ht="30" customHeight="1" spans="1:6">
      <c r="A2190" s="5">
        <v>2188</v>
      </c>
      <c r="B2190" s="5" t="str">
        <f>"36412022010912145895061"</f>
        <v>36412022010912145895061</v>
      </c>
      <c r="C2190" s="5" t="s">
        <v>35</v>
      </c>
      <c r="D2190" s="5" t="str">
        <f>"吴来琼"</f>
        <v>吴来琼</v>
      </c>
      <c r="E2190" s="5" t="str">
        <f t="shared" si="223"/>
        <v>女</v>
      </c>
      <c r="F2190" s="5" t="str">
        <f>"汉族"</f>
        <v>汉族</v>
      </c>
    </row>
    <row r="2191" ht="30" customHeight="1" spans="1:6">
      <c r="A2191" s="5">
        <v>2189</v>
      </c>
      <c r="B2191" s="5" t="str">
        <f>"36412022010913501295252"</f>
        <v>36412022010913501295252</v>
      </c>
      <c r="C2191" s="5" t="s">
        <v>35</v>
      </c>
      <c r="D2191" s="5" t="str">
        <f>"冯娉婷"</f>
        <v>冯娉婷</v>
      </c>
      <c r="E2191" s="5" t="str">
        <f t="shared" si="223"/>
        <v>女</v>
      </c>
      <c r="F2191" s="5" t="str">
        <f>"汉族"</f>
        <v>汉族</v>
      </c>
    </row>
    <row r="2192" ht="30" customHeight="1" spans="1:6">
      <c r="A2192" s="5">
        <v>2190</v>
      </c>
      <c r="B2192" s="5" t="str">
        <f>"36412022010914444995356"</f>
        <v>36412022010914444995356</v>
      </c>
      <c r="C2192" s="5" t="s">
        <v>35</v>
      </c>
      <c r="D2192" s="5" t="str">
        <f>"冯南"</f>
        <v>冯南</v>
      </c>
      <c r="E2192" s="5" t="str">
        <f t="shared" si="223"/>
        <v>女</v>
      </c>
      <c r="F2192" s="5" t="str">
        <f>"汉族"</f>
        <v>汉族</v>
      </c>
    </row>
    <row r="2193" ht="30" customHeight="1" spans="1:6">
      <c r="A2193" s="5">
        <v>2191</v>
      </c>
      <c r="B2193" s="5" t="str">
        <f>"36412022010915351995466"</f>
        <v>36412022010915351995466</v>
      </c>
      <c r="C2193" s="5" t="s">
        <v>35</v>
      </c>
      <c r="D2193" s="5" t="str">
        <f>"苏茹"</f>
        <v>苏茹</v>
      </c>
      <c r="E2193" s="5" t="str">
        <f t="shared" si="223"/>
        <v>女</v>
      </c>
      <c r="F2193" s="5" t="str">
        <f>"汉族"</f>
        <v>汉族</v>
      </c>
    </row>
    <row r="2194" ht="30" customHeight="1" spans="1:6">
      <c r="A2194" s="5">
        <v>2192</v>
      </c>
      <c r="B2194" s="5" t="str">
        <f>"36412022010915385095475"</f>
        <v>36412022010915385095475</v>
      </c>
      <c r="C2194" s="5" t="s">
        <v>35</v>
      </c>
      <c r="D2194" s="5" t="str">
        <f>"吴罕"</f>
        <v>吴罕</v>
      </c>
      <c r="E2194" s="5" t="str">
        <f>"男"</f>
        <v>男</v>
      </c>
      <c r="F2194" s="5" t="str">
        <f>"黎族"</f>
        <v>黎族</v>
      </c>
    </row>
    <row r="2195" ht="30" customHeight="1" spans="1:6">
      <c r="A2195" s="5">
        <v>2193</v>
      </c>
      <c r="B2195" s="5" t="str">
        <f>"36412022010916260195588"</f>
        <v>36412022010916260195588</v>
      </c>
      <c r="C2195" s="5" t="s">
        <v>35</v>
      </c>
      <c r="D2195" s="5" t="str">
        <f>"羊爱金"</f>
        <v>羊爱金</v>
      </c>
      <c r="E2195" s="5" t="str">
        <f t="shared" ref="E2195:E2221" si="226">"女"</f>
        <v>女</v>
      </c>
      <c r="F2195" s="5" t="str">
        <f t="shared" ref="F2195:F2206" si="227">"汉族"</f>
        <v>汉族</v>
      </c>
    </row>
    <row r="2196" ht="30" customHeight="1" spans="1:6">
      <c r="A2196" s="5">
        <v>2194</v>
      </c>
      <c r="B2196" s="5" t="str">
        <f>"36412022010917130295669"</f>
        <v>36412022010917130295669</v>
      </c>
      <c r="C2196" s="5" t="s">
        <v>35</v>
      </c>
      <c r="D2196" s="5" t="str">
        <f>"张可芯"</f>
        <v>张可芯</v>
      </c>
      <c r="E2196" s="5" t="str">
        <f t="shared" si="226"/>
        <v>女</v>
      </c>
      <c r="F2196" s="5" t="str">
        <f t="shared" si="227"/>
        <v>汉族</v>
      </c>
    </row>
    <row r="2197" ht="30" customHeight="1" spans="1:6">
      <c r="A2197" s="5">
        <v>2195</v>
      </c>
      <c r="B2197" s="5" t="str">
        <f>"36412022010918395795759"</f>
        <v>36412022010918395795759</v>
      </c>
      <c r="C2197" s="5" t="s">
        <v>35</v>
      </c>
      <c r="D2197" s="5" t="str">
        <f>"孙婉菲"</f>
        <v>孙婉菲</v>
      </c>
      <c r="E2197" s="5" t="str">
        <f t="shared" si="226"/>
        <v>女</v>
      </c>
      <c r="F2197" s="5" t="str">
        <f t="shared" si="227"/>
        <v>汉族</v>
      </c>
    </row>
    <row r="2198" ht="30" customHeight="1" spans="1:6">
      <c r="A2198" s="5">
        <v>2196</v>
      </c>
      <c r="B2198" s="5" t="str">
        <f>"36412022010919574495851"</f>
        <v>36412022010919574495851</v>
      </c>
      <c r="C2198" s="5" t="s">
        <v>35</v>
      </c>
      <c r="D2198" s="5" t="str">
        <f>"符永香"</f>
        <v>符永香</v>
      </c>
      <c r="E2198" s="5" t="str">
        <f t="shared" si="226"/>
        <v>女</v>
      </c>
      <c r="F2198" s="5" t="str">
        <f t="shared" si="227"/>
        <v>汉族</v>
      </c>
    </row>
    <row r="2199" ht="30" customHeight="1" spans="1:6">
      <c r="A2199" s="5">
        <v>2197</v>
      </c>
      <c r="B2199" s="5" t="str">
        <f>"36412022010920095795877"</f>
        <v>36412022010920095795877</v>
      </c>
      <c r="C2199" s="5" t="s">
        <v>35</v>
      </c>
      <c r="D2199" s="5" t="str">
        <f>"吴欣穗"</f>
        <v>吴欣穗</v>
      </c>
      <c r="E2199" s="5" t="str">
        <f t="shared" si="226"/>
        <v>女</v>
      </c>
      <c r="F2199" s="5" t="str">
        <f t="shared" si="227"/>
        <v>汉族</v>
      </c>
    </row>
    <row r="2200" ht="30" customHeight="1" spans="1:6">
      <c r="A2200" s="5">
        <v>2198</v>
      </c>
      <c r="B2200" s="5" t="str">
        <f>"36412022010921024895972"</f>
        <v>36412022010921024895972</v>
      </c>
      <c r="C2200" s="5" t="s">
        <v>35</v>
      </c>
      <c r="D2200" s="5" t="str">
        <f>"陈辉苗"</f>
        <v>陈辉苗</v>
      </c>
      <c r="E2200" s="5" t="str">
        <f t="shared" si="226"/>
        <v>女</v>
      </c>
      <c r="F2200" s="5" t="str">
        <f t="shared" si="227"/>
        <v>汉族</v>
      </c>
    </row>
    <row r="2201" ht="30" customHeight="1" spans="1:6">
      <c r="A2201" s="5">
        <v>2199</v>
      </c>
      <c r="B2201" s="5" t="str">
        <f>"36412022010921363496036"</f>
        <v>36412022010921363496036</v>
      </c>
      <c r="C2201" s="5" t="s">
        <v>35</v>
      </c>
      <c r="D2201" s="5" t="str">
        <f>"陈君君"</f>
        <v>陈君君</v>
      </c>
      <c r="E2201" s="5" t="str">
        <f t="shared" si="226"/>
        <v>女</v>
      </c>
      <c r="F2201" s="5" t="str">
        <f t="shared" si="227"/>
        <v>汉族</v>
      </c>
    </row>
    <row r="2202" ht="30" customHeight="1" spans="1:6">
      <c r="A2202" s="5">
        <v>2200</v>
      </c>
      <c r="B2202" s="5" t="str">
        <f>"36412022010921594296086"</f>
        <v>36412022010921594296086</v>
      </c>
      <c r="C2202" s="5" t="s">
        <v>35</v>
      </c>
      <c r="D2202" s="5" t="str">
        <f>"李秀花"</f>
        <v>李秀花</v>
      </c>
      <c r="E2202" s="5" t="str">
        <f t="shared" si="226"/>
        <v>女</v>
      </c>
      <c r="F2202" s="5" t="str">
        <f t="shared" si="227"/>
        <v>汉族</v>
      </c>
    </row>
    <row r="2203" ht="30" customHeight="1" spans="1:6">
      <c r="A2203" s="5">
        <v>2201</v>
      </c>
      <c r="B2203" s="5" t="str">
        <f>"36412022010922313996145"</f>
        <v>36412022010922313996145</v>
      </c>
      <c r="C2203" s="5" t="s">
        <v>35</v>
      </c>
      <c r="D2203" s="5" t="str">
        <f>"唐雨"</f>
        <v>唐雨</v>
      </c>
      <c r="E2203" s="5" t="str">
        <f t="shared" si="226"/>
        <v>女</v>
      </c>
      <c r="F2203" s="5" t="str">
        <f t="shared" si="227"/>
        <v>汉族</v>
      </c>
    </row>
    <row r="2204" ht="30" customHeight="1" spans="1:6">
      <c r="A2204" s="5">
        <v>2202</v>
      </c>
      <c r="B2204" s="5" t="str">
        <f>"36412022010922421396164"</f>
        <v>36412022010922421396164</v>
      </c>
      <c r="C2204" s="5" t="s">
        <v>35</v>
      </c>
      <c r="D2204" s="5" t="str">
        <f>"谢梦静"</f>
        <v>谢梦静</v>
      </c>
      <c r="E2204" s="5" t="str">
        <f t="shared" si="226"/>
        <v>女</v>
      </c>
      <c r="F2204" s="5" t="str">
        <f t="shared" si="227"/>
        <v>汉族</v>
      </c>
    </row>
    <row r="2205" ht="30" customHeight="1" spans="1:6">
      <c r="A2205" s="5">
        <v>2203</v>
      </c>
      <c r="B2205" s="5" t="str">
        <f>"36412022010923124196197"</f>
        <v>36412022010923124196197</v>
      </c>
      <c r="C2205" s="5" t="s">
        <v>35</v>
      </c>
      <c r="D2205" s="5" t="str">
        <f>"高芳莉"</f>
        <v>高芳莉</v>
      </c>
      <c r="E2205" s="5" t="str">
        <f t="shared" si="226"/>
        <v>女</v>
      </c>
      <c r="F2205" s="5" t="str">
        <f t="shared" si="227"/>
        <v>汉族</v>
      </c>
    </row>
    <row r="2206" ht="30" customHeight="1" spans="1:6">
      <c r="A2206" s="5">
        <v>2204</v>
      </c>
      <c r="B2206" s="5" t="str">
        <f>"36412022011000393696278"</f>
        <v>36412022011000393696278</v>
      </c>
      <c r="C2206" s="5" t="s">
        <v>35</v>
      </c>
      <c r="D2206" s="5" t="str">
        <f>"万兴柳"</f>
        <v>万兴柳</v>
      </c>
      <c r="E2206" s="5" t="str">
        <f t="shared" si="226"/>
        <v>女</v>
      </c>
      <c r="F2206" s="5" t="str">
        <f t="shared" si="227"/>
        <v>汉族</v>
      </c>
    </row>
    <row r="2207" ht="30" customHeight="1" spans="1:6">
      <c r="A2207" s="5">
        <v>2205</v>
      </c>
      <c r="B2207" s="5" t="str">
        <f>"36412022011007102196314"</f>
        <v>36412022011007102196314</v>
      </c>
      <c r="C2207" s="5" t="s">
        <v>35</v>
      </c>
      <c r="D2207" s="5" t="str">
        <f>"麦田芳"</f>
        <v>麦田芳</v>
      </c>
      <c r="E2207" s="5" t="str">
        <f t="shared" si="226"/>
        <v>女</v>
      </c>
      <c r="F2207" s="5" t="str">
        <f>"黎族"</f>
        <v>黎族</v>
      </c>
    </row>
    <row r="2208" ht="30" customHeight="1" spans="1:6">
      <c r="A2208" s="5">
        <v>2206</v>
      </c>
      <c r="B2208" s="5" t="str">
        <f>"36412022011009082196434"</f>
        <v>36412022011009082196434</v>
      </c>
      <c r="C2208" s="5" t="s">
        <v>35</v>
      </c>
      <c r="D2208" s="5" t="str">
        <f>"羊莹莹"</f>
        <v>羊莹莹</v>
      </c>
      <c r="E2208" s="5" t="str">
        <f t="shared" si="226"/>
        <v>女</v>
      </c>
      <c r="F2208" s="5" t="str">
        <f>"汉族"</f>
        <v>汉族</v>
      </c>
    </row>
    <row r="2209" ht="30" customHeight="1" spans="1:6">
      <c r="A2209" s="5">
        <v>2207</v>
      </c>
      <c r="B2209" s="5" t="str">
        <f>"36412022011009274896485"</f>
        <v>36412022011009274896485</v>
      </c>
      <c r="C2209" s="5" t="s">
        <v>35</v>
      </c>
      <c r="D2209" s="5" t="str">
        <f>"吴宇婷"</f>
        <v>吴宇婷</v>
      </c>
      <c r="E2209" s="5" t="str">
        <f t="shared" si="226"/>
        <v>女</v>
      </c>
      <c r="F2209" s="5" t="str">
        <f>"汉族"</f>
        <v>汉族</v>
      </c>
    </row>
    <row r="2210" ht="30" customHeight="1" spans="1:6">
      <c r="A2210" s="5">
        <v>2208</v>
      </c>
      <c r="B2210" s="5" t="str">
        <f>"36412022011009443596532"</f>
        <v>36412022011009443596532</v>
      </c>
      <c r="C2210" s="5" t="s">
        <v>35</v>
      </c>
      <c r="D2210" s="5" t="str">
        <f>"练霞"</f>
        <v>练霞</v>
      </c>
      <c r="E2210" s="5" t="str">
        <f t="shared" si="226"/>
        <v>女</v>
      </c>
      <c r="F2210" s="5" t="str">
        <f>"汉族"</f>
        <v>汉族</v>
      </c>
    </row>
    <row r="2211" ht="30" customHeight="1" spans="1:6">
      <c r="A2211" s="5">
        <v>2209</v>
      </c>
      <c r="B2211" s="5" t="str">
        <f>"36412022011010164196647"</f>
        <v>36412022011010164196647</v>
      </c>
      <c r="C2211" s="5" t="s">
        <v>35</v>
      </c>
      <c r="D2211" s="5" t="str">
        <f>"高喜红"</f>
        <v>高喜红</v>
      </c>
      <c r="E2211" s="5" t="str">
        <f t="shared" si="226"/>
        <v>女</v>
      </c>
      <c r="F2211" s="5" t="str">
        <f>"黎族"</f>
        <v>黎族</v>
      </c>
    </row>
    <row r="2212" ht="30" customHeight="1" spans="1:6">
      <c r="A2212" s="5">
        <v>2210</v>
      </c>
      <c r="B2212" s="5" t="str">
        <f>"36412022011010282396681"</f>
        <v>36412022011010282396681</v>
      </c>
      <c r="C2212" s="5" t="s">
        <v>35</v>
      </c>
      <c r="D2212" s="5" t="str">
        <f>"陈蕾"</f>
        <v>陈蕾</v>
      </c>
      <c r="E2212" s="5" t="str">
        <f t="shared" si="226"/>
        <v>女</v>
      </c>
      <c r="F2212" s="5" t="str">
        <f t="shared" ref="F2212:F2227" si="228">"汉族"</f>
        <v>汉族</v>
      </c>
    </row>
    <row r="2213" ht="30" customHeight="1" spans="1:6">
      <c r="A2213" s="5">
        <v>2211</v>
      </c>
      <c r="B2213" s="5" t="str">
        <f>"36412022011010315696693"</f>
        <v>36412022011010315696693</v>
      </c>
      <c r="C2213" s="5" t="s">
        <v>35</v>
      </c>
      <c r="D2213" s="5" t="str">
        <f>"刘美珍"</f>
        <v>刘美珍</v>
      </c>
      <c r="E2213" s="5" t="str">
        <f t="shared" si="226"/>
        <v>女</v>
      </c>
      <c r="F2213" s="5" t="str">
        <f t="shared" si="228"/>
        <v>汉族</v>
      </c>
    </row>
    <row r="2214" ht="30" customHeight="1" spans="1:6">
      <c r="A2214" s="5">
        <v>2212</v>
      </c>
      <c r="B2214" s="5" t="str">
        <f>"36412022011010404396729"</f>
        <v>36412022011010404396729</v>
      </c>
      <c r="C2214" s="5" t="s">
        <v>35</v>
      </c>
      <c r="D2214" s="5" t="str">
        <f>"陈吉银"</f>
        <v>陈吉银</v>
      </c>
      <c r="E2214" s="5" t="str">
        <f t="shared" si="226"/>
        <v>女</v>
      </c>
      <c r="F2214" s="5" t="str">
        <f t="shared" si="228"/>
        <v>汉族</v>
      </c>
    </row>
    <row r="2215" ht="30" customHeight="1" spans="1:6">
      <c r="A2215" s="5">
        <v>2213</v>
      </c>
      <c r="B2215" s="5" t="str">
        <f>"36412022011011090396819"</f>
        <v>36412022011011090396819</v>
      </c>
      <c r="C2215" s="5" t="s">
        <v>35</v>
      </c>
      <c r="D2215" s="5" t="str">
        <f>"麦淑珍"</f>
        <v>麦淑珍</v>
      </c>
      <c r="E2215" s="5" t="str">
        <f t="shared" si="226"/>
        <v>女</v>
      </c>
      <c r="F2215" s="5" t="str">
        <f t="shared" si="228"/>
        <v>汉族</v>
      </c>
    </row>
    <row r="2216" ht="30" customHeight="1" spans="1:6">
      <c r="A2216" s="5">
        <v>2214</v>
      </c>
      <c r="B2216" s="5" t="str">
        <f>"36412022011011170896851"</f>
        <v>36412022011011170896851</v>
      </c>
      <c r="C2216" s="5" t="s">
        <v>35</v>
      </c>
      <c r="D2216" s="5" t="str">
        <f>"李若贤"</f>
        <v>李若贤</v>
      </c>
      <c r="E2216" s="5" t="str">
        <f t="shared" si="226"/>
        <v>女</v>
      </c>
      <c r="F2216" s="5" t="str">
        <f t="shared" si="228"/>
        <v>汉族</v>
      </c>
    </row>
    <row r="2217" ht="30" customHeight="1" spans="1:6">
      <c r="A2217" s="5">
        <v>2215</v>
      </c>
      <c r="B2217" s="5" t="str">
        <f>"36412022011011450596938"</f>
        <v>36412022011011450596938</v>
      </c>
      <c r="C2217" s="5" t="s">
        <v>35</v>
      </c>
      <c r="D2217" s="5" t="str">
        <f>"黄楚茵"</f>
        <v>黄楚茵</v>
      </c>
      <c r="E2217" s="5" t="str">
        <f t="shared" si="226"/>
        <v>女</v>
      </c>
      <c r="F2217" s="5" t="str">
        <f t="shared" si="228"/>
        <v>汉族</v>
      </c>
    </row>
    <row r="2218" ht="30" customHeight="1" spans="1:6">
      <c r="A2218" s="5">
        <v>2216</v>
      </c>
      <c r="B2218" s="5" t="str">
        <f>"36412021123109085969681"</f>
        <v>36412021123109085969681</v>
      </c>
      <c r="C2218" s="5" t="s">
        <v>36</v>
      </c>
      <c r="D2218" s="5" t="str">
        <f>"罗红娇"</f>
        <v>罗红娇</v>
      </c>
      <c r="E2218" s="5" t="str">
        <f t="shared" si="226"/>
        <v>女</v>
      </c>
      <c r="F2218" s="5" t="str">
        <f t="shared" si="228"/>
        <v>汉族</v>
      </c>
    </row>
    <row r="2219" ht="30" customHeight="1" spans="1:6">
      <c r="A2219" s="5">
        <v>2217</v>
      </c>
      <c r="B2219" s="5" t="str">
        <f>"36412021123109102469686"</f>
        <v>36412021123109102469686</v>
      </c>
      <c r="C2219" s="5" t="s">
        <v>36</v>
      </c>
      <c r="D2219" s="5" t="str">
        <f>"何丹花"</f>
        <v>何丹花</v>
      </c>
      <c r="E2219" s="5" t="str">
        <f t="shared" si="226"/>
        <v>女</v>
      </c>
      <c r="F2219" s="5" t="str">
        <f t="shared" si="228"/>
        <v>汉族</v>
      </c>
    </row>
    <row r="2220" ht="30" customHeight="1" spans="1:6">
      <c r="A2220" s="5">
        <v>2218</v>
      </c>
      <c r="B2220" s="5" t="str">
        <f>"36412021123109141369707"</f>
        <v>36412021123109141369707</v>
      </c>
      <c r="C2220" s="5" t="s">
        <v>36</v>
      </c>
      <c r="D2220" s="5" t="str">
        <f>"李兴乾"</f>
        <v>李兴乾</v>
      </c>
      <c r="E2220" s="5" t="str">
        <f t="shared" si="226"/>
        <v>女</v>
      </c>
      <c r="F2220" s="5" t="str">
        <f t="shared" si="228"/>
        <v>汉族</v>
      </c>
    </row>
    <row r="2221" ht="30" customHeight="1" spans="1:6">
      <c r="A2221" s="5">
        <v>2219</v>
      </c>
      <c r="B2221" s="5" t="str">
        <f>"36412021123109154369714"</f>
        <v>36412021123109154369714</v>
      </c>
      <c r="C2221" s="5" t="s">
        <v>36</v>
      </c>
      <c r="D2221" s="5" t="str">
        <f>"王莉"</f>
        <v>王莉</v>
      </c>
      <c r="E2221" s="5" t="str">
        <f t="shared" si="226"/>
        <v>女</v>
      </c>
      <c r="F2221" s="5" t="str">
        <f t="shared" si="228"/>
        <v>汉族</v>
      </c>
    </row>
    <row r="2222" ht="30" customHeight="1" spans="1:6">
      <c r="A2222" s="5">
        <v>2220</v>
      </c>
      <c r="B2222" s="5" t="str">
        <f>"36412021123109545569874"</f>
        <v>36412021123109545569874</v>
      </c>
      <c r="C2222" s="5" t="s">
        <v>36</v>
      </c>
      <c r="D2222" s="5" t="str">
        <f>"符发琼"</f>
        <v>符发琼</v>
      </c>
      <c r="E2222" s="5" t="str">
        <f>"男"</f>
        <v>男</v>
      </c>
      <c r="F2222" s="5" t="str">
        <f t="shared" si="228"/>
        <v>汉族</v>
      </c>
    </row>
    <row r="2223" ht="30" customHeight="1" spans="1:6">
      <c r="A2223" s="5">
        <v>2221</v>
      </c>
      <c r="B2223" s="5" t="str">
        <f>"36412021123110035369922"</f>
        <v>36412021123110035369922</v>
      </c>
      <c r="C2223" s="5" t="s">
        <v>36</v>
      </c>
      <c r="D2223" s="5" t="str">
        <f>"许桂英"</f>
        <v>许桂英</v>
      </c>
      <c r="E2223" s="5" t="str">
        <f t="shared" ref="E2223:E2230" si="229">"女"</f>
        <v>女</v>
      </c>
      <c r="F2223" s="5" t="str">
        <f t="shared" si="228"/>
        <v>汉族</v>
      </c>
    </row>
    <row r="2224" ht="30" customHeight="1" spans="1:6">
      <c r="A2224" s="5">
        <v>2222</v>
      </c>
      <c r="B2224" s="5" t="str">
        <f>"36412021123110120969960"</f>
        <v>36412021123110120969960</v>
      </c>
      <c r="C2224" s="5" t="s">
        <v>36</v>
      </c>
      <c r="D2224" s="5" t="str">
        <f>"卢运芳"</f>
        <v>卢运芳</v>
      </c>
      <c r="E2224" s="5" t="str">
        <f t="shared" si="229"/>
        <v>女</v>
      </c>
      <c r="F2224" s="5" t="str">
        <f t="shared" si="228"/>
        <v>汉族</v>
      </c>
    </row>
    <row r="2225" ht="30" customHeight="1" spans="1:6">
      <c r="A2225" s="5">
        <v>2223</v>
      </c>
      <c r="B2225" s="5" t="str">
        <f>"36412021123110201470001"</f>
        <v>36412021123110201470001</v>
      </c>
      <c r="C2225" s="5" t="s">
        <v>36</v>
      </c>
      <c r="D2225" s="5" t="str">
        <f>"蒋秋霞"</f>
        <v>蒋秋霞</v>
      </c>
      <c r="E2225" s="5" t="str">
        <f t="shared" si="229"/>
        <v>女</v>
      </c>
      <c r="F2225" s="5" t="str">
        <f t="shared" si="228"/>
        <v>汉族</v>
      </c>
    </row>
    <row r="2226" ht="30" customHeight="1" spans="1:6">
      <c r="A2226" s="5">
        <v>2224</v>
      </c>
      <c r="B2226" s="5" t="str">
        <f>"36412021123110223370010"</f>
        <v>36412021123110223370010</v>
      </c>
      <c r="C2226" s="5" t="s">
        <v>36</v>
      </c>
      <c r="D2226" s="5" t="str">
        <f>"林琳"</f>
        <v>林琳</v>
      </c>
      <c r="E2226" s="5" t="str">
        <f t="shared" si="229"/>
        <v>女</v>
      </c>
      <c r="F2226" s="5" t="str">
        <f t="shared" si="228"/>
        <v>汉族</v>
      </c>
    </row>
    <row r="2227" ht="30" customHeight="1" spans="1:6">
      <c r="A2227" s="5">
        <v>2225</v>
      </c>
      <c r="B2227" s="5" t="str">
        <f>"36412021123110470170134"</f>
        <v>36412021123110470170134</v>
      </c>
      <c r="C2227" s="5" t="s">
        <v>36</v>
      </c>
      <c r="D2227" s="5" t="str">
        <f>"邓景元"</f>
        <v>邓景元</v>
      </c>
      <c r="E2227" s="5" t="str">
        <f t="shared" si="229"/>
        <v>女</v>
      </c>
      <c r="F2227" s="5" t="str">
        <f t="shared" si="228"/>
        <v>汉族</v>
      </c>
    </row>
    <row r="2228" ht="30" customHeight="1" spans="1:6">
      <c r="A2228" s="5">
        <v>2226</v>
      </c>
      <c r="B2228" s="5" t="str">
        <f>"36412021123111243970294"</f>
        <v>36412021123111243970294</v>
      </c>
      <c r="C2228" s="5" t="s">
        <v>36</v>
      </c>
      <c r="D2228" s="5" t="str">
        <f>"胡肖颜"</f>
        <v>胡肖颜</v>
      </c>
      <c r="E2228" s="5" t="str">
        <f t="shared" si="229"/>
        <v>女</v>
      </c>
      <c r="F2228" s="5" t="str">
        <f>"黎族"</f>
        <v>黎族</v>
      </c>
    </row>
    <row r="2229" ht="30" customHeight="1" spans="1:6">
      <c r="A2229" s="5">
        <v>2227</v>
      </c>
      <c r="B2229" s="5" t="str">
        <f>"36412021123115073970836"</f>
        <v>36412021123115073970836</v>
      </c>
      <c r="C2229" s="5" t="s">
        <v>36</v>
      </c>
      <c r="D2229" s="5" t="str">
        <f>"莫丽"</f>
        <v>莫丽</v>
      </c>
      <c r="E2229" s="5" t="str">
        <f t="shared" si="229"/>
        <v>女</v>
      </c>
      <c r="F2229" s="5" t="str">
        <f>"汉族"</f>
        <v>汉族</v>
      </c>
    </row>
    <row r="2230" ht="30" customHeight="1" spans="1:6">
      <c r="A2230" s="5">
        <v>2228</v>
      </c>
      <c r="B2230" s="5" t="str">
        <f>"36412021123115421070925"</f>
        <v>36412021123115421070925</v>
      </c>
      <c r="C2230" s="5" t="s">
        <v>36</v>
      </c>
      <c r="D2230" s="5" t="str">
        <f>"詹卫月"</f>
        <v>詹卫月</v>
      </c>
      <c r="E2230" s="5" t="str">
        <f t="shared" si="229"/>
        <v>女</v>
      </c>
      <c r="F2230" s="5" t="str">
        <f>"汉族"</f>
        <v>汉族</v>
      </c>
    </row>
    <row r="2231" ht="30" customHeight="1" spans="1:6">
      <c r="A2231" s="5">
        <v>2229</v>
      </c>
      <c r="B2231" s="5" t="str">
        <f>"36412021123116533271083"</f>
        <v>36412021123116533271083</v>
      </c>
      <c r="C2231" s="5" t="s">
        <v>36</v>
      </c>
      <c r="D2231" s="5" t="str">
        <f>"韦道威"</f>
        <v>韦道威</v>
      </c>
      <c r="E2231" s="5" t="str">
        <f>"男"</f>
        <v>男</v>
      </c>
      <c r="F2231" s="5" t="str">
        <f>"黎族"</f>
        <v>黎族</v>
      </c>
    </row>
    <row r="2232" ht="30" customHeight="1" spans="1:6">
      <c r="A2232" s="5">
        <v>2230</v>
      </c>
      <c r="B2232" s="5" t="str">
        <f>"36412021123117572471167"</f>
        <v>36412021123117572471167</v>
      </c>
      <c r="C2232" s="5" t="s">
        <v>36</v>
      </c>
      <c r="D2232" s="5" t="str">
        <f>"符岐花"</f>
        <v>符岐花</v>
      </c>
      <c r="E2232" s="5" t="str">
        <f>"女"</f>
        <v>女</v>
      </c>
      <c r="F2232" s="5" t="str">
        <f t="shared" ref="F2232:F2248" si="230">"汉族"</f>
        <v>汉族</v>
      </c>
    </row>
    <row r="2233" ht="30" customHeight="1" spans="1:6">
      <c r="A2233" s="5">
        <v>2231</v>
      </c>
      <c r="B2233" s="5" t="str">
        <f>"36412021123119532571252"</f>
        <v>36412021123119532571252</v>
      </c>
      <c r="C2233" s="5" t="s">
        <v>36</v>
      </c>
      <c r="D2233" s="5" t="str">
        <f>"梁小南"</f>
        <v>梁小南</v>
      </c>
      <c r="E2233" s="5" t="str">
        <f>"女"</f>
        <v>女</v>
      </c>
      <c r="F2233" s="5" t="str">
        <f t="shared" si="230"/>
        <v>汉族</v>
      </c>
    </row>
    <row r="2234" ht="30" customHeight="1" spans="1:6">
      <c r="A2234" s="5">
        <v>2232</v>
      </c>
      <c r="B2234" s="5" t="str">
        <f>"36412021123121051471308"</f>
        <v>36412021123121051471308</v>
      </c>
      <c r="C2234" s="5" t="s">
        <v>36</v>
      </c>
      <c r="D2234" s="5" t="str">
        <f>"薛为长"</f>
        <v>薛为长</v>
      </c>
      <c r="E2234" s="5" t="str">
        <f>"男"</f>
        <v>男</v>
      </c>
      <c r="F2234" s="5" t="str">
        <f t="shared" si="230"/>
        <v>汉族</v>
      </c>
    </row>
    <row r="2235" ht="30" customHeight="1" spans="1:6">
      <c r="A2235" s="5">
        <v>2233</v>
      </c>
      <c r="B2235" s="5" t="str">
        <f>"36412022010112561371745"</f>
        <v>36412022010112561371745</v>
      </c>
      <c r="C2235" s="5" t="s">
        <v>36</v>
      </c>
      <c r="D2235" s="5" t="str">
        <f>"王伟"</f>
        <v>王伟</v>
      </c>
      <c r="E2235" s="5" t="str">
        <f>"女"</f>
        <v>女</v>
      </c>
      <c r="F2235" s="5" t="str">
        <f t="shared" si="230"/>
        <v>汉族</v>
      </c>
    </row>
    <row r="2236" ht="30" customHeight="1" spans="1:6">
      <c r="A2236" s="5">
        <v>2234</v>
      </c>
      <c r="B2236" s="5" t="str">
        <f>"36412022010113183771775"</f>
        <v>36412022010113183771775</v>
      </c>
      <c r="C2236" s="5" t="s">
        <v>36</v>
      </c>
      <c r="D2236" s="5" t="str">
        <f>"陈艺灵"</f>
        <v>陈艺灵</v>
      </c>
      <c r="E2236" s="5" t="str">
        <f>"女"</f>
        <v>女</v>
      </c>
      <c r="F2236" s="5" t="str">
        <f t="shared" si="230"/>
        <v>汉族</v>
      </c>
    </row>
    <row r="2237" ht="30" customHeight="1" spans="1:6">
      <c r="A2237" s="5">
        <v>2235</v>
      </c>
      <c r="B2237" s="5" t="str">
        <f>"36412022010120063572165"</f>
        <v>36412022010120063572165</v>
      </c>
      <c r="C2237" s="5" t="s">
        <v>36</v>
      </c>
      <c r="D2237" s="5" t="str">
        <f>"郭枝茂"</f>
        <v>郭枝茂</v>
      </c>
      <c r="E2237" s="5" t="str">
        <f>"男"</f>
        <v>男</v>
      </c>
      <c r="F2237" s="5" t="str">
        <f t="shared" si="230"/>
        <v>汉族</v>
      </c>
    </row>
    <row r="2238" ht="30" customHeight="1" spans="1:6">
      <c r="A2238" s="5">
        <v>2236</v>
      </c>
      <c r="B2238" s="5" t="str">
        <f>"36412022010121193672237"</f>
        <v>36412022010121193672237</v>
      </c>
      <c r="C2238" s="5" t="s">
        <v>36</v>
      </c>
      <c r="D2238" s="5" t="str">
        <f>"王静宝"</f>
        <v>王静宝</v>
      </c>
      <c r="E2238" s="5" t="str">
        <f t="shared" ref="E2238:E2249" si="231">"女"</f>
        <v>女</v>
      </c>
      <c r="F2238" s="5" t="str">
        <f t="shared" si="230"/>
        <v>汉族</v>
      </c>
    </row>
    <row r="2239" ht="30" customHeight="1" spans="1:6">
      <c r="A2239" s="5">
        <v>2237</v>
      </c>
      <c r="B2239" s="5" t="str">
        <f>"36412022010121274072247"</f>
        <v>36412022010121274072247</v>
      </c>
      <c r="C2239" s="5" t="s">
        <v>36</v>
      </c>
      <c r="D2239" s="5" t="str">
        <f>"李国柳"</f>
        <v>李国柳</v>
      </c>
      <c r="E2239" s="5" t="str">
        <f t="shared" si="231"/>
        <v>女</v>
      </c>
      <c r="F2239" s="5" t="str">
        <f t="shared" si="230"/>
        <v>汉族</v>
      </c>
    </row>
    <row r="2240" ht="30" customHeight="1" spans="1:6">
      <c r="A2240" s="5">
        <v>2238</v>
      </c>
      <c r="B2240" s="5" t="str">
        <f>"36412022010122380972325"</f>
        <v>36412022010122380972325</v>
      </c>
      <c r="C2240" s="5" t="s">
        <v>36</v>
      </c>
      <c r="D2240" s="5" t="str">
        <f>"王敏超"</f>
        <v>王敏超</v>
      </c>
      <c r="E2240" s="5" t="str">
        <f t="shared" si="231"/>
        <v>女</v>
      </c>
      <c r="F2240" s="5" t="str">
        <f t="shared" si="230"/>
        <v>汉族</v>
      </c>
    </row>
    <row r="2241" ht="30" customHeight="1" spans="1:6">
      <c r="A2241" s="5">
        <v>2239</v>
      </c>
      <c r="B2241" s="5" t="str">
        <f>"36412022010123451172373"</f>
        <v>36412022010123451172373</v>
      </c>
      <c r="C2241" s="5" t="s">
        <v>36</v>
      </c>
      <c r="D2241" s="5" t="str">
        <f>"黄火娜"</f>
        <v>黄火娜</v>
      </c>
      <c r="E2241" s="5" t="str">
        <f t="shared" si="231"/>
        <v>女</v>
      </c>
      <c r="F2241" s="5" t="str">
        <f t="shared" si="230"/>
        <v>汉族</v>
      </c>
    </row>
    <row r="2242" ht="30" customHeight="1" spans="1:6">
      <c r="A2242" s="5">
        <v>2240</v>
      </c>
      <c r="B2242" s="5" t="str">
        <f>"36412022010123455572374"</f>
        <v>36412022010123455572374</v>
      </c>
      <c r="C2242" s="5" t="s">
        <v>36</v>
      </c>
      <c r="D2242" s="5" t="str">
        <f>"陈亚姑"</f>
        <v>陈亚姑</v>
      </c>
      <c r="E2242" s="5" t="str">
        <f t="shared" si="231"/>
        <v>女</v>
      </c>
      <c r="F2242" s="5" t="str">
        <f t="shared" si="230"/>
        <v>汉族</v>
      </c>
    </row>
    <row r="2243" ht="30" customHeight="1" spans="1:6">
      <c r="A2243" s="5">
        <v>2241</v>
      </c>
      <c r="B2243" s="5" t="str">
        <f>"36412022010200251772391"</f>
        <v>36412022010200251772391</v>
      </c>
      <c r="C2243" s="5" t="s">
        <v>36</v>
      </c>
      <c r="D2243" s="5" t="str">
        <f>"林嘉嘉"</f>
        <v>林嘉嘉</v>
      </c>
      <c r="E2243" s="5" t="str">
        <f t="shared" si="231"/>
        <v>女</v>
      </c>
      <c r="F2243" s="5" t="str">
        <f t="shared" si="230"/>
        <v>汉族</v>
      </c>
    </row>
    <row r="2244" ht="30" customHeight="1" spans="1:6">
      <c r="A2244" s="5">
        <v>2242</v>
      </c>
      <c r="B2244" s="5" t="str">
        <f>"36412022010210091372514"</f>
        <v>36412022010210091372514</v>
      </c>
      <c r="C2244" s="5" t="s">
        <v>36</v>
      </c>
      <c r="D2244" s="5" t="str">
        <f>"吴珍珍"</f>
        <v>吴珍珍</v>
      </c>
      <c r="E2244" s="5" t="str">
        <f t="shared" si="231"/>
        <v>女</v>
      </c>
      <c r="F2244" s="5" t="str">
        <f t="shared" si="230"/>
        <v>汉族</v>
      </c>
    </row>
    <row r="2245" ht="30" customHeight="1" spans="1:6">
      <c r="A2245" s="5">
        <v>2243</v>
      </c>
      <c r="B2245" s="5" t="str">
        <f>"36412022010210444872564"</f>
        <v>36412022010210444872564</v>
      </c>
      <c r="C2245" s="5" t="s">
        <v>36</v>
      </c>
      <c r="D2245" s="5" t="str">
        <f>"钟珍波"</f>
        <v>钟珍波</v>
      </c>
      <c r="E2245" s="5" t="str">
        <f t="shared" si="231"/>
        <v>女</v>
      </c>
      <c r="F2245" s="5" t="str">
        <f t="shared" si="230"/>
        <v>汉族</v>
      </c>
    </row>
    <row r="2246" ht="30" customHeight="1" spans="1:6">
      <c r="A2246" s="5">
        <v>2244</v>
      </c>
      <c r="B2246" s="5" t="str">
        <f>"36412022010212001272680"</f>
        <v>36412022010212001272680</v>
      </c>
      <c r="C2246" s="5" t="s">
        <v>36</v>
      </c>
      <c r="D2246" s="5" t="str">
        <f>"何洁仪"</f>
        <v>何洁仪</v>
      </c>
      <c r="E2246" s="5" t="str">
        <f t="shared" si="231"/>
        <v>女</v>
      </c>
      <c r="F2246" s="5" t="str">
        <f t="shared" si="230"/>
        <v>汉族</v>
      </c>
    </row>
    <row r="2247" ht="30" customHeight="1" spans="1:6">
      <c r="A2247" s="5">
        <v>2245</v>
      </c>
      <c r="B2247" s="5" t="str">
        <f>"36412022010212234972713"</f>
        <v>36412022010212234972713</v>
      </c>
      <c r="C2247" s="5" t="s">
        <v>36</v>
      </c>
      <c r="D2247" s="5" t="str">
        <f>"苏应冰"</f>
        <v>苏应冰</v>
      </c>
      <c r="E2247" s="5" t="str">
        <f t="shared" si="231"/>
        <v>女</v>
      </c>
      <c r="F2247" s="5" t="str">
        <f t="shared" si="230"/>
        <v>汉族</v>
      </c>
    </row>
    <row r="2248" ht="30" customHeight="1" spans="1:6">
      <c r="A2248" s="5">
        <v>2246</v>
      </c>
      <c r="B2248" s="5" t="str">
        <f>"36412022010221155973298"</f>
        <v>36412022010221155973298</v>
      </c>
      <c r="C2248" s="5" t="s">
        <v>36</v>
      </c>
      <c r="D2248" s="5" t="str">
        <f>"许秀靖"</f>
        <v>许秀靖</v>
      </c>
      <c r="E2248" s="5" t="str">
        <f t="shared" si="231"/>
        <v>女</v>
      </c>
      <c r="F2248" s="5" t="str">
        <f t="shared" si="230"/>
        <v>汉族</v>
      </c>
    </row>
    <row r="2249" ht="30" customHeight="1" spans="1:6">
      <c r="A2249" s="5">
        <v>2247</v>
      </c>
      <c r="B2249" s="5" t="str">
        <f>"36412022010222284173385"</f>
        <v>36412022010222284173385</v>
      </c>
      <c r="C2249" s="5" t="s">
        <v>36</v>
      </c>
      <c r="D2249" s="5" t="str">
        <f>"王香如"</f>
        <v>王香如</v>
      </c>
      <c r="E2249" s="5" t="str">
        <f t="shared" si="231"/>
        <v>女</v>
      </c>
      <c r="F2249" s="5" t="str">
        <f>"黎族"</f>
        <v>黎族</v>
      </c>
    </row>
    <row r="2250" ht="30" customHeight="1" spans="1:6">
      <c r="A2250" s="5">
        <v>2248</v>
      </c>
      <c r="B2250" s="5" t="str">
        <f>"36412022010303121473466"</f>
        <v>36412022010303121473466</v>
      </c>
      <c r="C2250" s="5" t="s">
        <v>36</v>
      </c>
      <c r="D2250" s="5" t="str">
        <f>"吴俊"</f>
        <v>吴俊</v>
      </c>
      <c r="E2250" s="5" t="str">
        <f>"男"</f>
        <v>男</v>
      </c>
      <c r="F2250" s="5" t="str">
        <f t="shared" ref="F2250:F2256" si="232">"汉族"</f>
        <v>汉族</v>
      </c>
    </row>
    <row r="2251" ht="30" customHeight="1" spans="1:6">
      <c r="A2251" s="5">
        <v>2249</v>
      </c>
      <c r="B2251" s="5" t="str">
        <f>"36412022010308015173483"</f>
        <v>36412022010308015173483</v>
      </c>
      <c r="C2251" s="5" t="s">
        <v>36</v>
      </c>
      <c r="D2251" s="5" t="str">
        <f>"李效妮"</f>
        <v>李效妮</v>
      </c>
      <c r="E2251" s="5" t="str">
        <f>"女"</f>
        <v>女</v>
      </c>
      <c r="F2251" s="5" t="str">
        <f t="shared" si="232"/>
        <v>汉族</v>
      </c>
    </row>
    <row r="2252" ht="30" customHeight="1" spans="1:6">
      <c r="A2252" s="5">
        <v>2250</v>
      </c>
      <c r="B2252" s="5" t="str">
        <f>"36412022010310590874260"</f>
        <v>36412022010310590874260</v>
      </c>
      <c r="C2252" s="5" t="s">
        <v>36</v>
      </c>
      <c r="D2252" s="5" t="str">
        <f>"何长清"</f>
        <v>何长清</v>
      </c>
      <c r="E2252" s="5" t="str">
        <f>"男"</f>
        <v>男</v>
      </c>
      <c r="F2252" s="5" t="str">
        <f t="shared" si="232"/>
        <v>汉族</v>
      </c>
    </row>
    <row r="2253" ht="30" customHeight="1" spans="1:6">
      <c r="A2253" s="5">
        <v>2251</v>
      </c>
      <c r="B2253" s="5" t="str">
        <f>"36412022010317134575783"</f>
        <v>36412022010317134575783</v>
      </c>
      <c r="C2253" s="5" t="s">
        <v>36</v>
      </c>
      <c r="D2253" s="5" t="str">
        <f>"陈海瑞"</f>
        <v>陈海瑞</v>
      </c>
      <c r="E2253" s="5" t="str">
        <f>"男"</f>
        <v>男</v>
      </c>
      <c r="F2253" s="5" t="str">
        <f t="shared" si="232"/>
        <v>汉族</v>
      </c>
    </row>
    <row r="2254" ht="30" customHeight="1" spans="1:6">
      <c r="A2254" s="5">
        <v>2252</v>
      </c>
      <c r="B2254" s="5" t="str">
        <f>"36412022010318192775979"</f>
        <v>36412022010318192775979</v>
      </c>
      <c r="C2254" s="5" t="s">
        <v>36</v>
      </c>
      <c r="D2254" s="5" t="str">
        <f>"黎培旭"</f>
        <v>黎培旭</v>
      </c>
      <c r="E2254" s="5" t="str">
        <f>"男"</f>
        <v>男</v>
      </c>
      <c r="F2254" s="5" t="str">
        <f t="shared" si="232"/>
        <v>汉族</v>
      </c>
    </row>
    <row r="2255" ht="30" customHeight="1" spans="1:6">
      <c r="A2255" s="5">
        <v>2253</v>
      </c>
      <c r="B2255" s="5" t="str">
        <f>"36412022010319084876133"</f>
        <v>36412022010319084876133</v>
      </c>
      <c r="C2255" s="5" t="s">
        <v>36</v>
      </c>
      <c r="D2255" s="5" t="str">
        <f>"周乃超"</f>
        <v>周乃超</v>
      </c>
      <c r="E2255" s="5" t="str">
        <f>"男"</f>
        <v>男</v>
      </c>
      <c r="F2255" s="5" t="str">
        <f t="shared" si="232"/>
        <v>汉族</v>
      </c>
    </row>
    <row r="2256" ht="30" customHeight="1" spans="1:6">
      <c r="A2256" s="5">
        <v>2254</v>
      </c>
      <c r="B2256" s="5" t="str">
        <f>"36412022010320340576418"</f>
        <v>36412022010320340576418</v>
      </c>
      <c r="C2256" s="5" t="s">
        <v>36</v>
      </c>
      <c r="D2256" s="5" t="str">
        <f>"李秀波"</f>
        <v>李秀波</v>
      </c>
      <c r="E2256" s="5" t="str">
        <f t="shared" ref="E2256:E2267" si="233">"女"</f>
        <v>女</v>
      </c>
      <c r="F2256" s="5" t="str">
        <f t="shared" si="232"/>
        <v>汉族</v>
      </c>
    </row>
    <row r="2257" ht="30" customHeight="1" spans="1:6">
      <c r="A2257" s="5">
        <v>2255</v>
      </c>
      <c r="B2257" s="5" t="str">
        <f>"36412022010406300277045"</f>
        <v>36412022010406300277045</v>
      </c>
      <c r="C2257" s="5" t="s">
        <v>36</v>
      </c>
      <c r="D2257" s="5" t="str">
        <f>"麦彩依"</f>
        <v>麦彩依</v>
      </c>
      <c r="E2257" s="5" t="str">
        <f t="shared" si="233"/>
        <v>女</v>
      </c>
      <c r="F2257" s="5" t="str">
        <f>"黎族"</f>
        <v>黎族</v>
      </c>
    </row>
    <row r="2258" ht="30" customHeight="1" spans="1:6">
      <c r="A2258" s="5">
        <v>2256</v>
      </c>
      <c r="B2258" s="5" t="str">
        <f>"36412022010409070677443"</f>
        <v>36412022010409070677443</v>
      </c>
      <c r="C2258" s="5" t="s">
        <v>36</v>
      </c>
      <c r="D2258" s="5" t="str">
        <f>"蒙丽妃"</f>
        <v>蒙丽妃</v>
      </c>
      <c r="E2258" s="5" t="str">
        <f t="shared" si="233"/>
        <v>女</v>
      </c>
      <c r="F2258" s="5" t="str">
        <f t="shared" ref="F2258:F2269" si="234">"汉族"</f>
        <v>汉族</v>
      </c>
    </row>
    <row r="2259" ht="30" customHeight="1" spans="1:6">
      <c r="A2259" s="5">
        <v>2257</v>
      </c>
      <c r="B2259" s="5" t="str">
        <f>"36412022010410402678268"</f>
        <v>36412022010410402678268</v>
      </c>
      <c r="C2259" s="5" t="s">
        <v>36</v>
      </c>
      <c r="D2259" s="5" t="str">
        <f>"冼恩嫚"</f>
        <v>冼恩嫚</v>
      </c>
      <c r="E2259" s="5" t="str">
        <f t="shared" si="233"/>
        <v>女</v>
      </c>
      <c r="F2259" s="5" t="str">
        <f t="shared" si="234"/>
        <v>汉族</v>
      </c>
    </row>
    <row r="2260" ht="30" customHeight="1" spans="1:6">
      <c r="A2260" s="5">
        <v>2258</v>
      </c>
      <c r="B2260" s="5" t="str">
        <f>"36412022010410480578328"</f>
        <v>36412022010410480578328</v>
      </c>
      <c r="C2260" s="5" t="s">
        <v>36</v>
      </c>
      <c r="D2260" s="5" t="str">
        <f>"麻晶晶"</f>
        <v>麻晶晶</v>
      </c>
      <c r="E2260" s="5" t="str">
        <f t="shared" si="233"/>
        <v>女</v>
      </c>
      <c r="F2260" s="5" t="str">
        <f t="shared" si="234"/>
        <v>汉族</v>
      </c>
    </row>
    <row r="2261" ht="30" customHeight="1" spans="1:6">
      <c r="A2261" s="5">
        <v>2259</v>
      </c>
      <c r="B2261" s="5" t="str">
        <f>"36412022010413250079284"</f>
        <v>36412022010413250079284</v>
      </c>
      <c r="C2261" s="5" t="s">
        <v>36</v>
      </c>
      <c r="D2261" s="5" t="str">
        <f>"李业玲"</f>
        <v>李业玲</v>
      </c>
      <c r="E2261" s="5" t="str">
        <f t="shared" si="233"/>
        <v>女</v>
      </c>
      <c r="F2261" s="5" t="str">
        <f t="shared" si="234"/>
        <v>汉族</v>
      </c>
    </row>
    <row r="2262" ht="30" customHeight="1" spans="1:6">
      <c r="A2262" s="5">
        <v>2260</v>
      </c>
      <c r="B2262" s="5" t="str">
        <f>"36412022010415074579743"</f>
        <v>36412022010415074579743</v>
      </c>
      <c r="C2262" s="5" t="s">
        <v>36</v>
      </c>
      <c r="D2262" s="5" t="str">
        <f>"符春欢"</f>
        <v>符春欢</v>
      </c>
      <c r="E2262" s="5" t="str">
        <f t="shared" si="233"/>
        <v>女</v>
      </c>
      <c r="F2262" s="5" t="str">
        <f t="shared" si="234"/>
        <v>汉族</v>
      </c>
    </row>
    <row r="2263" ht="30" customHeight="1" spans="1:6">
      <c r="A2263" s="5">
        <v>2261</v>
      </c>
      <c r="B2263" s="5" t="str">
        <f>"36412022010417420080637"</f>
        <v>36412022010417420080637</v>
      </c>
      <c r="C2263" s="5" t="s">
        <v>36</v>
      </c>
      <c r="D2263" s="5" t="str">
        <f>"梁小叶"</f>
        <v>梁小叶</v>
      </c>
      <c r="E2263" s="5" t="str">
        <f t="shared" si="233"/>
        <v>女</v>
      </c>
      <c r="F2263" s="5" t="str">
        <f t="shared" si="234"/>
        <v>汉族</v>
      </c>
    </row>
    <row r="2264" ht="30" customHeight="1" spans="1:6">
      <c r="A2264" s="5">
        <v>2262</v>
      </c>
      <c r="B2264" s="5" t="str">
        <f>"36412022010418095980756"</f>
        <v>36412022010418095980756</v>
      </c>
      <c r="C2264" s="5" t="s">
        <v>36</v>
      </c>
      <c r="D2264" s="5" t="str">
        <f>"黄彩云"</f>
        <v>黄彩云</v>
      </c>
      <c r="E2264" s="5" t="str">
        <f t="shared" si="233"/>
        <v>女</v>
      </c>
      <c r="F2264" s="5" t="str">
        <f t="shared" si="234"/>
        <v>汉族</v>
      </c>
    </row>
    <row r="2265" ht="30" customHeight="1" spans="1:6">
      <c r="A2265" s="5">
        <v>2263</v>
      </c>
      <c r="B2265" s="5" t="str">
        <f>"36412022010418340880864"</f>
        <v>36412022010418340880864</v>
      </c>
      <c r="C2265" s="5" t="s">
        <v>36</v>
      </c>
      <c r="D2265" s="5" t="str">
        <f>"李军联"</f>
        <v>李军联</v>
      </c>
      <c r="E2265" s="5" t="str">
        <f t="shared" si="233"/>
        <v>女</v>
      </c>
      <c r="F2265" s="5" t="str">
        <f t="shared" si="234"/>
        <v>汉族</v>
      </c>
    </row>
    <row r="2266" ht="30" customHeight="1" spans="1:6">
      <c r="A2266" s="5">
        <v>2264</v>
      </c>
      <c r="B2266" s="5" t="str">
        <f>"36412022010421473981791"</f>
        <v>36412022010421473981791</v>
      </c>
      <c r="C2266" s="5" t="s">
        <v>36</v>
      </c>
      <c r="D2266" s="5" t="str">
        <f>"罗文晴"</f>
        <v>罗文晴</v>
      </c>
      <c r="E2266" s="5" t="str">
        <f t="shared" si="233"/>
        <v>女</v>
      </c>
      <c r="F2266" s="5" t="str">
        <f t="shared" si="234"/>
        <v>汉族</v>
      </c>
    </row>
    <row r="2267" ht="30" customHeight="1" spans="1:6">
      <c r="A2267" s="5">
        <v>2265</v>
      </c>
      <c r="B2267" s="5" t="str">
        <f>"36412022010422052581858"</f>
        <v>36412022010422052581858</v>
      </c>
      <c r="C2267" s="5" t="s">
        <v>36</v>
      </c>
      <c r="D2267" s="5" t="str">
        <f>"王长姑"</f>
        <v>王长姑</v>
      </c>
      <c r="E2267" s="5" t="str">
        <f t="shared" si="233"/>
        <v>女</v>
      </c>
      <c r="F2267" s="5" t="str">
        <f t="shared" si="234"/>
        <v>汉族</v>
      </c>
    </row>
    <row r="2268" ht="30" customHeight="1" spans="1:6">
      <c r="A2268" s="5">
        <v>2266</v>
      </c>
      <c r="B2268" s="5" t="str">
        <f>"36412022010509010082505"</f>
        <v>36412022010509010082505</v>
      </c>
      <c r="C2268" s="5" t="s">
        <v>36</v>
      </c>
      <c r="D2268" s="5" t="str">
        <f>"林升恒"</f>
        <v>林升恒</v>
      </c>
      <c r="E2268" s="5" t="str">
        <f>"男"</f>
        <v>男</v>
      </c>
      <c r="F2268" s="5" t="str">
        <f t="shared" si="234"/>
        <v>汉族</v>
      </c>
    </row>
    <row r="2269" ht="30" customHeight="1" spans="1:6">
      <c r="A2269" s="5">
        <v>2267</v>
      </c>
      <c r="B2269" s="5" t="str">
        <f>"36412022010510005382857"</f>
        <v>36412022010510005382857</v>
      </c>
      <c r="C2269" s="5" t="s">
        <v>36</v>
      </c>
      <c r="D2269" s="5" t="str">
        <f>"陈婆梅"</f>
        <v>陈婆梅</v>
      </c>
      <c r="E2269" s="5" t="str">
        <f t="shared" ref="E2269:E2277" si="235">"女"</f>
        <v>女</v>
      </c>
      <c r="F2269" s="5" t="str">
        <f t="shared" si="234"/>
        <v>汉族</v>
      </c>
    </row>
    <row r="2270" ht="30" customHeight="1" spans="1:6">
      <c r="A2270" s="5">
        <v>2268</v>
      </c>
      <c r="B2270" s="5" t="str">
        <f>"36412022010510023382867"</f>
        <v>36412022010510023382867</v>
      </c>
      <c r="C2270" s="5" t="s">
        <v>36</v>
      </c>
      <c r="D2270" s="5" t="str">
        <f>"高珍桃"</f>
        <v>高珍桃</v>
      </c>
      <c r="E2270" s="5" t="str">
        <f t="shared" si="235"/>
        <v>女</v>
      </c>
      <c r="F2270" s="5" t="str">
        <f>"黎族"</f>
        <v>黎族</v>
      </c>
    </row>
    <row r="2271" ht="30" customHeight="1" spans="1:6">
      <c r="A2271" s="5">
        <v>2269</v>
      </c>
      <c r="B2271" s="5" t="str">
        <f>"36412022010510563883233"</f>
        <v>36412022010510563883233</v>
      </c>
      <c r="C2271" s="5" t="s">
        <v>36</v>
      </c>
      <c r="D2271" s="5" t="str">
        <f>"韦彩丹"</f>
        <v>韦彩丹</v>
      </c>
      <c r="E2271" s="5" t="str">
        <f t="shared" si="235"/>
        <v>女</v>
      </c>
      <c r="F2271" s="5" t="str">
        <f t="shared" ref="F2271:F2282" si="236">"汉族"</f>
        <v>汉族</v>
      </c>
    </row>
    <row r="2272" ht="30" customHeight="1" spans="1:6">
      <c r="A2272" s="5">
        <v>2270</v>
      </c>
      <c r="B2272" s="5" t="str">
        <f>"36412022010512225283704"</f>
        <v>36412022010512225283704</v>
      </c>
      <c r="C2272" s="5" t="s">
        <v>36</v>
      </c>
      <c r="D2272" s="5" t="str">
        <f>"苏光日"</f>
        <v>苏光日</v>
      </c>
      <c r="E2272" s="5" t="str">
        <f t="shared" si="235"/>
        <v>女</v>
      </c>
      <c r="F2272" s="5" t="str">
        <f t="shared" si="236"/>
        <v>汉族</v>
      </c>
    </row>
    <row r="2273" ht="30" customHeight="1" spans="1:6">
      <c r="A2273" s="5">
        <v>2271</v>
      </c>
      <c r="B2273" s="5" t="str">
        <f>"36412022010512492183835"</f>
        <v>36412022010512492183835</v>
      </c>
      <c r="C2273" s="5" t="s">
        <v>36</v>
      </c>
      <c r="D2273" s="5" t="str">
        <f>"桂小送"</f>
        <v>桂小送</v>
      </c>
      <c r="E2273" s="5" t="str">
        <f t="shared" si="235"/>
        <v>女</v>
      </c>
      <c r="F2273" s="5" t="str">
        <f t="shared" si="236"/>
        <v>汉族</v>
      </c>
    </row>
    <row r="2274" ht="30" customHeight="1" spans="1:6">
      <c r="A2274" s="5">
        <v>2272</v>
      </c>
      <c r="B2274" s="5" t="str">
        <f>"36412022010513461484092"</f>
        <v>36412022010513461484092</v>
      </c>
      <c r="C2274" s="5" t="s">
        <v>36</v>
      </c>
      <c r="D2274" s="5" t="str">
        <f>"陈卓"</f>
        <v>陈卓</v>
      </c>
      <c r="E2274" s="5" t="str">
        <f t="shared" si="235"/>
        <v>女</v>
      </c>
      <c r="F2274" s="5" t="str">
        <f t="shared" si="236"/>
        <v>汉族</v>
      </c>
    </row>
    <row r="2275" ht="30" customHeight="1" spans="1:6">
      <c r="A2275" s="5">
        <v>2273</v>
      </c>
      <c r="B2275" s="5" t="str">
        <f>"36412022010515294884617"</f>
        <v>36412022010515294884617</v>
      </c>
      <c r="C2275" s="5" t="s">
        <v>36</v>
      </c>
      <c r="D2275" s="5" t="str">
        <f>"杨悦"</f>
        <v>杨悦</v>
      </c>
      <c r="E2275" s="5" t="str">
        <f t="shared" si="235"/>
        <v>女</v>
      </c>
      <c r="F2275" s="5" t="str">
        <f t="shared" si="236"/>
        <v>汉族</v>
      </c>
    </row>
    <row r="2276" ht="30" customHeight="1" spans="1:6">
      <c r="A2276" s="5">
        <v>2274</v>
      </c>
      <c r="B2276" s="5" t="str">
        <f>"36412022010517262685223"</f>
        <v>36412022010517262685223</v>
      </c>
      <c r="C2276" s="5" t="s">
        <v>36</v>
      </c>
      <c r="D2276" s="5" t="str">
        <f>"王锡慧"</f>
        <v>王锡慧</v>
      </c>
      <c r="E2276" s="5" t="str">
        <f t="shared" si="235"/>
        <v>女</v>
      </c>
      <c r="F2276" s="5" t="str">
        <f t="shared" si="236"/>
        <v>汉族</v>
      </c>
    </row>
    <row r="2277" ht="30" customHeight="1" spans="1:6">
      <c r="A2277" s="5">
        <v>2275</v>
      </c>
      <c r="B2277" s="5" t="str">
        <f>"36412022010517331985249"</f>
        <v>36412022010517331985249</v>
      </c>
      <c r="C2277" s="5" t="s">
        <v>36</v>
      </c>
      <c r="D2277" s="5" t="str">
        <f>"王秋菊"</f>
        <v>王秋菊</v>
      </c>
      <c r="E2277" s="5" t="str">
        <f t="shared" si="235"/>
        <v>女</v>
      </c>
      <c r="F2277" s="5" t="str">
        <f t="shared" si="236"/>
        <v>汉族</v>
      </c>
    </row>
    <row r="2278" ht="30" customHeight="1" spans="1:6">
      <c r="A2278" s="5">
        <v>2276</v>
      </c>
      <c r="B2278" s="5" t="str">
        <f>"36412022010521281686208"</f>
        <v>36412022010521281686208</v>
      </c>
      <c r="C2278" s="5" t="s">
        <v>36</v>
      </c>
      <c r="D2278" s="5" t="str">
        <f>"王正照"</f>
        <v>王正照</v>
      </c>
      <c r="E2278" s="5" t="str">
        <f>"男"</f>
        <v>男</v>
      </c>
      <c r="F2278" s="5" t="str">
        <f t="shared" si="236"/>
        <v>汉族</v>
      </c>
    </row>
    <row r="2279" ht="30" customHeight="1" spans="1:6">
      <c r="A2279" s="5">
        <v>2277</v>
      </c>
      <c r="B2279" s="5" t="str">
        <f>"36412022010523195986628"</f>
        <v>36412022010523195986628</v>
      </c>
      <c r="C2279" s="5" t="s">
        <v>36</v>
      </c>
      <c r="D2279" s="5" t="str">
        <f>"王丹"</f>
        <v>王丹</v>
      </c>
      <c r="E2279" s="5" t="str">
        <f t="shared" ref="E2279:E2291" si="237">"女"</f>
        <v>女</v>
      </c>
      <c r="F2279" s="5" t="str">
        <f t="shared" si="236"/>
        <v>汉族</v>
      </c>
    </row>
    <row r="2280" ht="30" customHeight="1" spans="1:6">
      <c r="A2280" s="5">
        <v>2278</v>
      </c>
      <c r="B2280" s="5" t="str">
        <f>"36412022010610431987416"</f>
        <v>36412022010610431987416</v>
      </c>
      <c r="C2280" s="5" t="s">
        <v>36</v>
      </c>
      <c r="D2280" s="5" t="str">
        <f>"陈爱菊"</f>
        <v>陈爱菊</v>
      </c>
      <c r="E2280" s="5" t="str">
        <f t="shared" si="237"/>
        <v>女</v>
      </c>
      <c r="F2280" s="5" t="str">
        <f t="shared" si="236"/>
        <v>汉族</v>
      </c>
    </row>
    <row r="2281" ht="30" customHeight="1" spans="1:6">
      <c r="A2281" s="5">
        <v>2279</v>
      </c>
      <c r="B2281" s="5" t="str">
        <f>"36412022010611002887508"</f>
        <v>36412022010611002887508</v>
      </c>
      <c r="C2281" s="5" t="s">
        <v>36</v>
      </c>
      <c r="D2281" s="5" t="str">
        <f>"林莉红"</f>
        <v>林莉红</v>
      </c>
      <c r="E2281" s="5" t="str">
        <f t="shared" si="237"/>
        <v>女</v>
      </c>
      <c r="F2281" s="5" t="str">
        <f t="shared" si="236"/>
        <v>汉族</v>
      </c>
    </row>
    <row r="2282" ht="30" customHeight="1" spans="1:6">
      <c r="A2282" s="5">
        <v>2280</v>
      </c>
      <c r="B2282" s="5" t="str">
        <f>"36412022010611553187737"</f>
        <v>36412022010611553187737</v>
      </c>
      <c r="C2282" s="5" t="s">
        <v>36</v>
      </c>
      <c r="D2282" s="5" t="str">
        <f>"李虹芳"</f>
        <v>李虹芳</v>
      </c>
      <c r="E2282" s="5" t="str">
        <f t="shared" si="237"/>
        <v>女</v>
      </c>
      <c r="F2282" s="5" t="str">
        <f t="shared" si="236"/>
        <v>汉族</v>
      </c>
    </row>
    <row r="2283" ht="30" customHeight="1" spans="1:6">
      <c r="A2283" s="5">
        <v>2281</v>
      </c>
      <c r="B2283" s="5" t="str">
        <f>"36412022010613305688114"</f>
        <v>36412022010613305688114</v>
      </c>
      <c r="C2283" s="5" t="s">
        <v>36</v>
      </c>
      <c r="D2283" s="5" t="str">
        <f>"刘丽秋"</f>
        <v>刘丽秋</v>
      </c>
      <c r="E2283" s="5" t="str">
        <f t="shared" si="237"/>
        <v>女</v>
      </c>
      <c r="F2283" s="5" t="str">
        <f>"黎族"</f>
        <v>黎族</v>
      </c>
    </row>
    <row r="2284" ht="30" customHeight="1" spans="1:6">
      <c r="A2284" s="5">
        <v>2282</v>
      </c>
      <c r="B2284" s="5" t="str">
        <f>"36412022010614055188240"</f>
        <v>36412022010614055188240</v>
      </c>
      <c r="C2284" s="5" t="s">
        <v>36</v>
      </c>
      <c r="D2284" s="5" t="str">
        <f>"严伊莹"</f>
        <v>严伊莹</v>
      </c>
      <c r="E2284" s="5" t="str">
        <f t="shared" si="237"/>
        <v>女</v>
      </c>
      <c r="F2284" s="5" t="str">
        <f t="shared" ref="F2284:F2291" si="238">"汉族"</f>
        <v>汉族</v>
      </c>
    </row>
    <row r="2285" ht="30" customHeight="1" spans="1:6">
      <c r="A2285" s="5">
        <v>2283</v>
      </c>
      <c r="B2285" s="5" t="str">
        <f>"36412022010615120888511"</f>
        <v>36412022010615120888511</v>
      </c>
      <c r="C2285" s="5" t="s">
        <v>36</v>
      </c>
      <c r="D2285" s="5" t="str">
        <f>"王继娜"</f>
        <v>王继娜</v>
      </c>
      <c r="E2285" s="5" t="str">
        <f t="shared" si="237"/>
        <v>女</v>
      </c>
      <c r="F2285" s="5" t="str">
        <f t="shared" si="238"/>
        <v>汉族</v>
      </c>
    </row>
    <row r="2286" ht="30" customHeight="1" spans="1:6">
      <c r="A2286" s="5">
        <v>2284</v>
      </c>
      <c r="B2286" s="5" t="str">
        <f>"36412022010616112588795"</f>
        <v>36412022010616112588795</v>
      </c>
      <c r="C2286" s="5" t="s">
        <v>36</v>
      </c>
      <c r="D2286" s="5" t="str">
        <f>"韦少南"</f>
        <v>韦少南</v>
      </c>
      <c r="E2286" s="5" t="str">
        <f t="shared" si="237"/>
        <v>女</v>
      </c>
      <c r="F2286" s="5" t="str">
        <f t="shared" si="238"/>
        <v>汉族</v>
      </c>
    </row>
    <row r="2287" ht="30" customHeight="1" spans="1:6">
      <c r="A2287" s="5">
        <v>2285</v>
      </c>
      <c r="B2287" s="5" t="str">
        <f>"36412022010616404888953"</f>
        <v>36412022010616404888953</v>
      </c>
      <c r="C2287" s="5" t="s">
        <v>36</v>
      </c>
      <c r="D2287" s="5" t="str">
        <f>"王瀚悦"</f>
        <v>王瀚悦</v>
      </c>
      <c r="E2287" s="5" t="str">
        <f t="shared" si="237"/>
        <v>女</v>
      </c>
      <c r="F2287" s="5" t="str">
        <f t="shared" si="238"/>
        <v>汉族</v>
      </c>
    </row>
    <row r="2288" ht="30" customHeight="1" spans="1:6">
      <c r="A2288" s="5">
        <v>2286</v>
      </c>
      <c r="B2288" s="5" t="str">
        <f>"36412022010620094989660"</f>
        <v>36412022010620094989660</v>
      </c>
      <c r="C2288" s="5" t="s">
        <v>36</v>
      </c>
      <c r="D2288" s="5" t="str">
        <f>"谢珊瑚"</f>
        <v>谢珊瑚</v>
      </c>
      <c r="E2288" s="5" t="str">
        <f t="shared" si="237"/>
        <v>女</v>
      </c>
      <c r="F2288" s="5" t="str">
        <f t="shared" si="238"/>
        <v>汉族</v>
      </c>
    </row>
    <row r="2289" ht="30" customHeight="1" spans="1:6">
      <c r="A2289" s="5">
        <v>2287</v>
      </c>
      <c r="B2289" s="5" t="str">
        <f>"36412022010620580489834"</f>
        <v>36412022010620580489834</v>
      </c>
      <c r="C2289" s="5" t="s">
        <v>36</v>
      </c>
      <c r="D2289" s="5" t="str">
        <f>"林慧瑜"</f>
        <v>林慧瑜</v>
      </c>
      <c r="E2289" s="5" t="str">
        <f t="shared" si="237"/>
        <v>女</v>
      </c>
      <c r="F2289" s="5" t="str">
        <f t="shared" si="238"/>
        <v>汉族</v>
      </c>
    </row>
    <row r="2290" ht="30" customHeight="1" spans="1:6">
      <c r="A2290" s="5">
        <v>2288</v>
      </c>
      <c r="B2290" s="5" t="str">
        <f>"36412022010622103990081"</f>
        <v>36412022010622103990081</v>
      </c>
      <c r="C2290" s="5" t="s">
        <v>36</v>
      </c>
      <c r="D2290" s="5" t="str">
        <f>"张香芳"</f>
        <v>张香芳</v>
      </c>
      <c r="E2290" s="5" t="str">
        <f t="shared" si="237"/>
        <v>女</v>
      </c>
      <c r="F2290" s="5" t="str">
        <f t="shared" si="238"/>
        <v>汉族</v>
      </c>
    </row>
    <row r="2291" ht="30" customHeight="1" spans="1:6">
      <c r="A2291" s="5">
        <v>2289</v>
      </c>
      <c r="B2291" s="5" t="str">
        <f>"36412022010709111890623"</f>
        <v>36412022010709111890623</v>
      </c>
      <c r="C2291" s="5" t="s">
        <v>36</v>
      </c>
      <c r="D2291" s="5" t="str">
        <f>"许宇雪"</f>
        <v>许宇雪</v>
      </c>
      <c r="E2291" s="5" t="str">
        <f t="shared" si="237"/>
        <v>女</v>
      </c>
      <c r="F2291" s="5" t="str">
        <f t="shared" si="238"/>
        <v>汉族</v>
      </c>
    </row>
    <row r="2292" ht="30" customHeight="1" spans="1:6">
      <c r="A2292" s="5">
        <v>2290</v>
      </c>
      <c r="B2292" s="5" t="str">
        <f>"36412022010713051391488"</f>
        <v>36412022010713051391488</v>
      </c>
      <c r="C2292" s="5" t="s">
        <v>36</v>
      </c>
      <c r="D2292" s="5" t="str">
        <f>"曾祥程"</f>
        <v>曾祥程</v>
      </c>
      <c r="E2292" s="5" t="str">
        <f>"男"</f>
        <v>男</v>
      </c>
      <c r="F2292" s="5" t="str">
        <f>"黎族"</f>
        <v>黎族</v>
      </c>
    </row>
    <row r="2293" ht="30" customHeight="1" spans="1:6">
      <c r="A2293" s="5">
        <v>2291</v>
      </c>
      <c r="B2293" s="5" t="str">
        <f>"36412022010719462692669"</f>
        <v>36412022010719462692669</v>
      </c>
      <c r="C2293" s="5" t="s">
        <v>36</v>
      </c>
      <c r="D2293" s="5" t="str">
        <f>"邢玉丽"</f>
        <v>邢玉丽</v>
      </c>
      <c r="E2293" s="5" t="str">
        <f>"女"</f>
        <v>女</v>
      </c>
      <c r="F2293" s="5" t="str">
        <f>"汉族"</f>
        <v>汉族</v>
      </c>
    </row>
    <row r="2294" ht="30" customHeight="1" spans="1:6">
      <c r="A2294" s="5">
        <v>2292</v>
      </c>
      <c r="B2294" s="5" t="str">
        <f>"36412022010722462392977"</f>
        <v>36412022010722462392977</v>
      </c>
      <c r="C2294" s="5" t="s">
        <v>36</v>
      </c>
      <c r="D2294" s="5" t="str">
        <f>"张雪莲"</f>
        <v>张雪莲</v>
      </c>
      <c r="E2294" s="5" t="str">
        <f>"女"</f>
        <v>女</v>
      </c>
      <c r="F2294" s="5" t="str">
        <f>"汉族"</f>
        <v>汉族</v>
      </c>
    </row>
    <row r="2295" ht="30" customHeight="1" spans="1:6">
      <c r="A2295" s="5">
        <v>2293</v>
      </c>
      <c r="B2295" s="5" t="str">
        <f>"36412022010807225693088"</f>
        <v>36412022010807225693088</v>
      </c>
      <c r="C2295" s="5" t="s">
        <v>36</v>
      </c>
      <c r="D2295" s="5" t="str">
        <f>"李芳蔷"</f>
        <v>李芳蔷</v>
      </c>
      <c r="E2295" s="5" t="str">
        <f>"女"</f>
        <v>女</v>
      </c>
      <c r="F2295" s="5" t="str">
        <f>"汉族"</f>
        <v>汉族</v>
      </c>
    </row>
    <row r="2296" ht="30" customHeight="1" spans="1:6">
      <c r="A2296" s="5">
        <v>2294</v>
      </c>
      <c r="B2296" s="5" t="str">
        <f>"36412022010815122193597"</f>
        <v>36412022010815122193597</v>
      </c>
      <c r="C2296" s="5" t="s">
        <v>36</v>
      </c>
      <c r="D2296" s="5" t="str">
        <f>"朱秀梅"</f>
        <v>朱秀梅</v>
      </c>
      <c r="E2296" s="5" t="str">
        <f>"女"</f>
        <v>女</v>
      </c>
      <c r="F2296" s="5" t="str">
        <f>"汉族"</f>
        <v>汉族</v>
      </c>
    </row>
    <row r="2297" ht="30" customHeight="1" spans="1:6">
      <c r="A2297" s="5">
        <v>2295</v>
      </c>
      <c r="B2297" s="5" t="str">
        <f>"36412022010816235993714"</f>
        <v>36412022010816235993714</v>
      </c>
      <c r="C2297" s="5" t="s">
        <v>36</v>
      </c>
      <c r="D2297" s="5" t="str">
        <f>"梁锡"</f>
        <v>梁锡</v>
      </c>
      <c r="E2297" s="5" t="str">
        <f>"男"</f>
        <v>男</v>
      </c>
      <c r="F2297" s="5" t="str">
        <f>"黎族"</f>
        <v>黎族</v>
      </c>
    </row>
    <row r="2298" ht="30" customHeight="1" spans="1:6">
      <c r="A2298" s="5">
        <v>2296</v>
      </c>
      <c r="B2298" s="5" t="str">
        <f>"36412022010816491793764"</f>
        <v>36412022010816491793764</v>
      </c>
      <c r="C2298" s="5" t="s">
        <v>36</v>
      </c>
      <c r="D2298" s="5" t="str">
        <f>"王玉"</f>
        <v>王玉</v>
      </c>
      <c r="E2298" s="5" t="str">
        <f>"女"</f>
        <v>女</v>
      </c>
      <c r="F2298" s="5" t="str">
        <f>"汉族"</f>
        <v>汉族</v>
      </c>
    </row>
    <row r="2299" ht="30" customHeight="1" spans="1:6">
      <c r="A2299" s="5">
        <v>2297</v>
      </c>
      <c r="B2299" s="5" t="str">
        <f>"36412022010817342693832"</f>
        <v>36412022010817342693832</v>
      </c>
      <c r="C2299" s="5" t="s">
        <v>36</v>
      </c>
      <c r="D2299" s="5" t="str">
        <f>"谢沐萍"</f>
        <v>谢沐萍</v>
      </c>
      <c r="E2299" s="5" t="str">
        <f>"女"</f>
        <v>女</v>
      </c>
      <c r="F2299" s="5" t="str">
        <f>"汉族"</f>
        <v>汉族</v>
      </c>
    </row>
    <row r="2300" ht="30" customHeight="1" spans="1:6">
      <c r="A2300" s="5">
        <v>2298</v>
      </c>
      <c r="B2300" s="5" t="str">
        <f>"36412022010819174293996"</f>
        <v>36412022010819174293996</v>
      </c>
      <c r="C2300" s="5" t="s">
        <v>36</v>
      </c>
      <c r="D2300" s="5" t="str">
        <f>"张英文"</f>
        <v>张英文</v>
      </c>
      <c r="E2300" s="5" t="str">
        <f>"男"</f>
        <v>男</v>
      </c>
      <c r="F2300" s="5" t="str">
        <f>"黎族"</f>
        <v>黎族</v>
      </c>
    </row>
    <row r="2301" ht="30" customHeight="1" spans="1:6">
      <c r="A2301" s="5">
        <v>2299</v>
      </c>
      <c r="B2301" s="5" t="str">
        <f>"36412022010819265994010"</f>
        <v>36412022010819265994010</v>
      </c>
      <c r="C2301" s="5" t="s">
        <v>36</v>
      </c>
      <c r="D2301" s="5" t="str">
        <f>"邓慧"</f>
        <v>邓慧</v>
      </c>
      <c r="E2301" s="5" t="str">
        <f t="shared" ref="E2301:E2329" si="239">"女"</f>
        <v>女</v>
      </c>
      <c r="F2301" s="5" t="str">
        <f t="shared" ref="F2301:F2310" si="240">"汉族"</f>
        <v>汉族</v>
      </c>
    </row>
    <row r="2302" ht="30" customHeight="1" spans="1:6">
      <c r="A2302" s="5">
        <v>2300</v>
      </c>
      <c r="B2302" s="5" t="str">
        <f>"36412022010820150894099"</f>
        <v>36412022010820150894099</v>
      </c>
      <c r="C2302" s="5" t="s">
        <v>36</v>
      </c>
      <c r="D2302" s="5" t="str">
        <f>"夏坤"</f>
        <v>夏坤</v>
      </c>
      <c r="E2302" s="5" t="str">
        <f t="shared" si="239"/>
        <v>女</v>
      </c>
      <c r="F2302" s="5" t="str">
        <f t="shared" si="240"/>
        <v>汉族</v>
      </c>
    </row>
    <row r="2303" ht="30" customHeight="1" spans="1:6">
      <c r="A2303" s="5">
        <v>2301</v>
      </c>
      <c r="B2303" s="5" t="str">
        <f>"36412022010911054994871"</f>
        <v>36412022010911054994871</v>
      </c>
      <c r="C2303" s="5" t="s">
        <v>36</v>
      </c>
      <c r="D2303" s="5" t="str">
        <f>"黎石翠"</f>
        <v>黎石翠</v>
      </c>
      <c r="E2303" s="5" t="str">
        <f t="shared" si="239"/>
        <v>女</v>
      </c>
      <c r="F2303" s="5" t="str">
        <f t="shared" si="240"/>
        <v>汉族</v>
      </c>
    </row>
    <row r="2304" ht="30" customHeight="1" spans="1:6">
      <c r="A2304" s="5">
        <v>2302</v>
      </c>
      <c r="B2304" s="5" t="str">
        <f>"36412022010911554995014"</f>
        <v>36412022010911554995014</v>
      </c>
      <c r="C2304" s="5" t="s">
        <v>36</v>
      </c>
      <c r="D2304" s="5" t="str">
        <f>"黎丽香"</f>
        <v>黎丽香</v>
      </c>
      <c r="E2304" s="5" t="str">
        <f t="shared" si="239"/>
        <v>女</v>
      </c>
      <c r="F2304" s="5" t="str">
        <f t="shared" si="240"/>
        <v>汉族</v>
      </c>
    </row>
    <row r="2305" ht="30" customHeight="1" spans="1:6">
      <c r="A2305" s="5">
        <v>2303</v>
      </c>
      <c r="B2305" s="5" t="str">
        <f>"36412022010912421595103"</f>
        <v>36412022010912421595103</v>
      </c>
      <c r="C2305" s="5" t="s">
        <v>36</v>
      </c>
      <c r="D2305" s="5" t="str">
        <f>"钟静玉"</f>
        <v>钟静玉</v>
      </c>
      <c r="E2305" s="5" t="str">
        <f t="shared" si="239"/>
        <v>女</v>
      </c>
      <c r="F2305" s="5" t="str">
        <f t="shared" si="240"/>
        <v>汉族</v>
      </c>
    </row>
    <row r="2306" ht="30" customHeight="1" spans="1:6">
      <c r="A2306" s="5">
        <v>2304</v>
      </c>
      <c r="B2306" s="5" t="str">
        <f>"36412022010912525195125"</f>
        <v>36412022010912525195125</v>
      </c>
      <c r="C2306" s="5" t="s">
        <v>36</v>
      </c>
      <c r="D2306" s="5" t="str">
        <f>"羊淑妍"</f>
        <v>羊淑妍</v>
      </c>
      <c r="E2306" s="5" t="str">
        <f t="shared" si="239"/>
        <v>女</v>
      </c>
      <c r="F2306" s="5" t="str">
        <f t="shared" si="240"/>
        <v>汉族</v>
      </c>
    </row>
    <row r="2307" ht="30" customHeight="1" spans="1:6">
      <c r="A2307" s="5">
        <v>2305</v>
      </c>
      <c r="B2307" s="5" t="str">
        <f>"36412022010913402295231"</f>
        <v>36412022010913402295231</v>
      </c>
      <c r="C2307" s="5" t="s">
        <v>36</v>
      </c>
      <c r="D2307" s="5" t="str">
        <f>"傅钰真"</f>
        <v>傅钰真</v>
      </c>
      <c r="E2307" s="5" t="str">
        <f t="shared" si="239"/>
        <v>女</v>
      </c>
      <c r="F2307" s="5" t="str">
        <f t="shared" si="240"/>
        <v>汉族</v>
      </c>
    </row>
    <row r="2308" ht="30" customHeight="1" spans="1:6">
      <c r="A2308" s="5">
        <v>2306</v>
      </c>
      <c r="B2308" s="5" t="str">
        <f>"36412022010918330095751"</f>
        <v>36412022010918330095751</v>
      </c>
      <c r="C2308" s="5" t="s">
        <v>36</v>
      </c>
      <c r="D2308" s="5" t="str">
        <f>"黎观荣"</f>
        <v>黎观荣</v>
      </c>
      <c r="E2308" s="5" t="str">
        <f t="shared" si="239"/>
        <v>女</v>
      </c>
      <c r="F2308" s="5" t="str">
        <f t="shared" si="240"/>
        <v>汉族</v>
      </c>
    </row>
    <row r="2309" ht="30" customHeight="1" spans="1:6">
      <c r="A2309" s="5">
        <v>2307</v>
      </c>
      <c r="B2309" s="5" t="str">
        <f>"36412022010918372495757"</f>
        <v>36412022010918372495757</v>
      </c>
      <c r="C2309" s="5" t="s">
        <v>36</v>
      </c>
      <c r="D2309" s="5" t="str">
        <f>"陈嘉欣"</f>
        <v>陈嘉欣</v>
      </c>
      <c r="E2309" s="5" t="str">
        <f t="shared" si="239"/>
        <v>女</v>
      </c>
      <c r="F2309" s="5" t="str">
        <f t="shared" si="240"/>
        <v>汉族</v>
      </c>
    </row>
    <row r="2310" ht="30" customHeight="1" spans="1:6">
      <c r="A2310" s="5">
        <v>2308</v>
      </c>
      <c r="B2310" s="5" t="str">
        <f>"36412022010919054395785"</f>
        <v>36412022010919054395785</v>
      </c>
      <c r="C2310" s="5" t="s">
        <v>36</v>
      </c>
      <c r="D2310" s="5" t="str">
        <f>"黄旋"</f>
        <v>黄旋</v>
      </c>
      <c r="E2310" s="5" t="str">
        <f t="shared" si="239"/>
        <v>女</v>
      </c>
      <c r="F2310" s="5" t="str">
        <f t="shared" si="240"/>
        <v>汉族</v>
      </c>
    </row>
    <row r="2311" ht="30" customHeight="1" spans="1:6">
      <c r="A2311" s="5">
        <v>2309</v>
      </c>
      <c r="B2311" s="5" t="str">
        <f>"36412022010919431995834"</f>
        <v>36412022010919431995834</v>
      </c>
      <c r="C2311" s="5" t="s">
        <v>36</v>
      </c>
      <c r="D2311" s="5" t="str">
        <f>"黄少丽"</f>
        <v>黄少丽</v>
      </c>
      <c r="E2311" s="5" t="str">
        <f t="shared" si="239"/>
        <v>女</v>
      </c>
      <c r="F2311" s="5" t="str">
        <f>"黎族"</f>
        <v>黎族</v>
      </c>
    </row>
    <row r="2312" ht="30" customHeight="1" spans="1:6">
      <c r="A2312" s="5">
        <v>2310</v>
      </c>
      <c r="B2312" s="5" t="str">
        <f>"36412022010920272595904"</f>
        <v>36412022010920272595904</v>
      </c>
      <c r="C2312" s="5" t="s">
        <v>36</v>
      </c>
      <c r="D2312" s="5" t="str">
        <f>"李向玉"</f>
        <v>李向玉</v>
      </c>
      <c r="E2312" s="5" t="str">
        <f t="shared" si="239"/>
        <v>女</v>
      </c>
      <c r="F2312" s="5" t="str">
        <f t="shared" ref="F2312:F2323" si="241">"汉族"</f>
        <v>汉族</v>
      </c>
    </row>
    <row r="2313" ht="30" customHeight="1" spans="1:6">
      <c r="A2313" s="5">
        <v>2311</v>
      </c>
      <c r="B2313" s="5" t="str">
        <f>"36412022010920443395929"</f>
        <v>36412022010920443395929</v>
      </c>
      <c r="C2313" s="5" t="s">
        <v>36</v>
      </c>
      <c r="D2313" s="5" t="str">
        <f>"陈海燕"</f>
        <v>陈海燕</v>
      </c>
      <c r="E2313" s="5" t="str">
        <f t="shared" si="239"/>
        <v>女</v>
      </c>
      <c r="F2313" s="5" t="str">
        <f t="shared" si="241"/>
        <v>汉族</v>
      </c>
    </row>
    <row r="2314" ht="30" customHeight="1" spans="1:6">
      <c r="A2314" s="5">
        <v>2312</v>
      </c>
      <c r="B2314" s="5" t="str">
        <f>"36412022010921113695985"</f>
        <v>36412022010921113695985</v>
      </c>
      <c r="C2314" s="5" t="s">
        <v>36</v>
      </c>
      <c r="D2314" s="5" t="str">
        <f>"刘海萍"</f>
        <v>刘海萍</v>
      </c>
      <c r="E2314" s="5" t="str">
        <f t="shared" si="239"/>
        <v>女</v>
      </c>
      <c r="F2314" s="5" t="str">
        <f t="shared" si="241"/>
        <v>汉族</v>
      </c>
    </row>
    <row r="2315" ht="30" customHeight="1" spans="1:6">
      <c r="A2315" s="5">
        <v>2313</v>
      </c>
      <c r="B2315" s="5" t="str">
        <f>"36412022010921134595991"</f>
        <v>36412022010921134595991</v>
      </c>
      <c r="C2315" s="5" t="s">
        <v>36</v>
      </c>
      <c r="D2315" s="5" t="str">
        <f>"王英云"</f>
        <v>王英云</v>
      </c>
      <c r="E2315" s="5" t="str">
        <f t="shared" si="239"/>
        <v>女</v>
      </c>
      <c r="F2315" s="5" t="str">
        <f t="shared" si="241"/>
        <v>汉族</v>
      </c>
    </row>
    <row r="2316" ht="30" customHeight="1" spans="1:6">
      <c r="A2316" s="5">
        <v>2314</v>
      </c>
      <c r="B2316" s="5" t="str">
        <f>"36412022010921301796014"</f>
        <v>36412022010921301796014</v>
      </c>
      <c r="C2316" s="5" t="s">
        <v>36</v>
      </c>
      <c r="D2316" s="5" t="str">
        <f>"周小妹"</f>
        <v>周小妹</v>
      </c>
      <c r="E2316" s="5" t="str">
        <f t="shared" si="239"/>
        <v>女</v>
      </c>
      <c r="F2316" s="5" t="str">
        <f t="shared" si="241"/>
        <v>汉族</v>
      </c>
    </row>
    <row r="2317" ht="30" customHeight="1" spans="1:6">
      <c r="A2317" s="5">
        <v>2315</v>
      </c>
      <c r="B2317" s="5" t="str">
        <f>"36412022010922233296126"</f>
        <v>36412022010922233296126</v>
      </c>
      <c r="C2317" s="5" t="s">
        <v>36</v>
      </c>
      <c r="D2317" s="5" t="str">
        <f>"郑丽凡"</f>
        <v>郑丽凡</v>
      </c>
      <c r="E2317" s="5" t="str">
        <f t="shared" si="239"/>
        <v>女</v>
      </c>
      <c r="F2317" s="5" t="str">
        <f t="shared" si="241"/>
        <v>汉族</v>
      </c>
    </row>
    <row r="2318" ht="30" customHeight="1" spans="1:6">
      <c r="A2318" s="5">
        <v>2316</v>
      </c>
      <c r="B2318" s="5" t="str">
        <f>"36412022010923184396206"</f>
        <v>36412022010923184396206</v>
      </c>
      <c r="C2318" s="5" t="s">
        <v>36</v>
      </c>
      <c r="D2318" s="5" t="str">
        <f>"李秀桂"</f>
        <v>李秀桂</v>
      </c>
      <c r="E2318" s="5" t="str">
        <f t="shared" si="239"/>
        <v>女</v>
      </c>
      <c r="F2318" s="5" t="str">
        <f t="shared" si="241"/>
        <v>汉族</v>
      </c>
    </row>
    <row r="2319" ht="30" customHeight="1" spans="1:6">
      <c r="A2319" s="5">
        <v>2317</v>
      </c>
      <c r="B2319" s="5" t="str">
        <f>"36412022011009091196436"</f>
        <v>36412022011009091196436</v>
      </c>
      <c r="C2319" s="5" t="s">
        <v>36</v>
      </c>
      <c r="D2319" s="5" t="str">
        <f>"周尹茹"</f>
        <v>周尹茹</v>
      </c>
      <c r="E2319" s="5" t="str">
        <f t="shared" si="239"/>
        <v>女</v>
      </c>
      <c r="F2319" s="5" t="str">
        <f t="shared" si="241"/>
        <v>汉族</v>
      </c>
    </row>
    <row r="2320" ht="30" customHeight="1" spans="1:6">
      <c r="A2320" s="5">
        <v>2318</v>
      </c>
      <c r="B2320" s="5" t="str">
        <f>"36412022011010294096683"</f>
        <v>36412022011010294096683</v>
      </c>
      <c r="C2320" s="5" t="s">
        <v>36</v>
      </c>
      <c r="D2320" s="5" t="str">
        <f>"李珍霞"</f>
        <v>李珍霞</v>
      </c>
      <c r="E2320" s="5" t="str">
        <f t="shared" si="239"/>
        <v>女</v>
      </c>
      <c r="F2320" s="5" t="str">
        <f t="shared" si="241"/>
        <v>汉族</v>
      </c>
    </row>
    <row r="2321" ht="30" customHeight="1" spans="1:6">
      <c r="A2321" s="5">
        <v>2319</v>
      </c>
      <c r="B2321" s="5" t="str">
        <f>"36412021123109110169688"</f>
        <v>36412021123109110169688</v>
      </c>
      <c r="C2321" s="5" t="s">
        <v>37</v>
      </c>
      <c r="D2321" s="5" t="str">
        <f>"符惠媛"</f>
        <v>符惠媛</v>
      </c>
      <c r="E2321" s="5" t="str">
        <f t="shared" si="239"/>
        <v>女</v>
      </c>
      <c r="F2321" s="5" t="str">
        <f t="shared" si="241"/>
        <v>汉族</v>
      </c>
    </row>
    <row r="2322" ht="30" customHeight="1" spans="1:6">
      <c r="A2322" s="5">
        <v>2320</v>
      </c>
      <c r="B2322" s="5" t="str">
        <f>"36412021123109120969699"</f>
        <v>36412021123109120969699</v>
      </c>
      <c r="C2322" s="5" t="s">
        <v>37</v>
      </c>
      <c r="D2322" s="5" t="str">
        <f>"张晶颖"</f>
        <v>张晶颖</v>
      </c>
      <c r="E2322" s="5" t="str">
        <f t="shared" si="239"/>
        <v>女</v>
      </c>
      <c r="F2322" s="5" t="str">
        <f t="shared" si="241"/>
        <v>汉族</v>
      </c>
    </row>
    <row r="2323" ht="30" customHeight="1" spans="1:6">
      <c r="A2323" s="5">
        <v>2321</v>
      </c>
      <c r="B2323" s="5" t="str">
        <f>"36412021123109404169809"</f>
        <v>36412021123109404169809</v>
      </c>
      <c r="C2323" s="5" t="s">
        <v>37</v>
      </c>
      <c r="D2323" s="5" t="str">
        <f>"谢慧芬"</f>
        <v>谢慧芬</v>
      </c>
      <c r="E2323" s="5" t="str">
        <f t="shared" si="239"/>
        <v>女</v>
      </c>
      <c r="F2323" s="5" t="str">
        <f t="shared" si="241"/>
        <v>汉族</v>
      </c>
    </row>
    <row r="2324" ht="30" customHeight="1" spans="1:6">
      <c r="A2324" s="5">
        <v>2322</v>
      </c>
      <c r="B2324" s="5" t="str">
        <f>"36412021123111101670236"</f>
        <v>36412021123111101670236</v>
      </c>
      <c r="C2324" s="5" t="s">
        <v>37</v>
      </c>
      <c r="D2324" s="5" t="str">
        <f>"吴松金"</f>
        <v>吴松金</v>
      </c>
      <c r="E2324" s="5" t="str">
        <f t="shared" si="239"/>
        <v>女</v>
      </c>
      <c r="F2324" s="5" t="str">
        <f>"黎族"</f>
        <v>黎族</v>
      </c>
    </row>
    <row r="2325" ht="30" customHeight="1" spans="1:6">
      <c r="A2325" s="5">
        <v>2323</v>
      </c>
      <c r="B2325" s="5" t="str">
        <f>"36412021123112101270423"</f>
        <v>36412021123112101270423</v>
      </c>
      <c r="C2325" s="5" t="s">
        <v>37</v>
      </c>
      <c r="D2325" s="5" t="str">
        <f>"林家芬"</f>
        <v>林家芬</v>
      </c>
      <c r="E2325" s="5" t="str">
        <f t="shared" si="239"/>
        <v>女</v>
      </c>
      <c r="F2325" s="5" t="str">
        <f>"汉族"</f>
        <v>汉族</v>
      </c>
    </row>
    <row r="2326" ht="30" customHeight="1" spans="1:6">
      <c r="A2326" s="5">
        <v>2324</v>
      </c>
      <c r="B2326" s="5" t="str">
        <f>"36412021123113213770589"</f>
        <v>36412021123113213770589</v>
      </c>
      <c r="C2326" s="5" t="s">
        <v>37</v>
      </c>
      <c r="D2326" s="5" t="str">
        <f>"吴丹"</f>
        <v>吴丹</v>
      </c>
      <c r="E2326" s="5" t="str">
        <f t="shared" si="239"/>
        <v>女</v>
      </c>
      <c r="F2326" s="5" t="str">
        <f>"汉族"</f>
        <v>汉族</v>
      </c>
    </row>
    <row r="2327" ht="30" customHeight="1" spans="1:6">
      <c r="A2327" s="5">
        <v>2325</v>
      </c>
      <c r="B2327" s="5" t="str">
        <f>"36412021123115231870877"</f>
        <v>36412021123115231870877</v>
      </c>
      <c r="C2327" s="5" t="s">
        <v>37</v>
      </c>
      <c r="D2327" s="5" t="str">
        <f>"周小练"</f>
        <v>周小练</v>
      </c>
      <c r="E2327" s="5" t="str">
        <f t="shared" si="239"/>
        <v>女</v>
      </c>
      <c r="F2327" s="5" t="str">
        <f>"黎族"</f>
        <v>黎族</v>
      </c>
    </row>
    <row r="2328" ht="30" customHeight="1" spans="1:6">
      <c r="A2328" s="5">
        <v>2326</v>
      </c>
      <c r="B2328" s="5" t="str">
        <f>"36412021123115265670891"</f>
        <v>36412021123115265670891</v>
      </c>
      <c r="C2328" s="5" t="s">
        <v>37</v>
      </c>
      <c r="D2328" s="5" t="str">
        <f>"关亦姝"</f>
        <v>关亦姝</v>
      </c>
      <c r="E2328" s="5" t="str">
        <f t="shared" si="239"/>
        <v>女</v>
      </c>
      <c r="F2328" s="5" t="str">
        <f t="shared" ref="F2328:F2333" si="242">"汉族"</f>
        <v>汉族</v>
      </c>
    </row>
    <row r="2329" ht="30" customHeight="1" spans="1:6">
      <c r="A2329" s="5">
        <v>2327</v>
      </c>
      <c r="B2329" s="5" t="str">
        <f>"36412021123117100371113"</f>
        <v>36412021123117100371113</v>
      </c>
      <c r="C2329" s="5" t="s">
        <v>37</v>
      </c>
      <c r="D2329" s="5" t="str">
        <f>"吴传曼"</f>
        <v>吴传曼</v>
      </c>
      <c r="E2329" s="5" t="str">
        <f t="shared" si="239"/>
        <v>女</v>
      </c>
      <c r="F2329" s="5" t="str">
        <f t="shared" si="242"/>
        <v>汉族</v>
      </c>
    </row>
    <row r="2330" ht="30" customHeight="1" spans="1:6">
      <c r="A2330" s="5">
        <v>2328</v>
      </c>
      <c r="B2330" s="5" t="str">
        <f>"36412022010118315672073"</f>
        <v>36412022010118315672073</v>
      </c>
      <c r="C2330" s="5" t="s">
        <v>37</v>
      </c>
      <c r="D2330" s="5" t="str">
        <f>"梁振文"</f>
        <v>梁振文</v>
      </c>
      <c r="E2330" s="5" t="str">
        <f>"男"</f>
        <v>男</v>
      </c>
      <c r="F2330" s="5" t="str">
        <f t="shared" si="242"/>
        <v>汉族</v>
      </c>
    </row>
    <row r="2331" ht="30" customHeight="1" spans="1:6">
      <c r="A2331" s="5">
        <v>2329</v>
      </c>
      <c r="B2331" s="5" t="str">
        <f>"36412022010121285872249"</f>
        <v>36412022010121285872249</v>
      </c>
      <c r="C2331" s="5" t="s">
        <v>37</v>
      </c>
      <c r="D2331" s="5" t="str">
        <f>"王培健"</f>
        <v>王培健</v>
      </c>
      <c r="E2331" s="5" t="str">
        <f>"男"</f>
        <v>男</v>
      </c>
      <c r="F2331" s="5" t="str">
        <f t="shared" si="242"/>
        <v>汉族</v>
      </c>
    </row>
    <row r="2332" ht="30" customHeight="1" spans="1:6">
      <c r="A2332" s="5">
        <v>2330</v>
      </c>
      <c r="B2332" s="5" t="str">
        <f>"36412022010216322673006"</f>
        <v>36412022010216322673006</v>
      </c>
      <c r="C2332" s="5" t="s">
        <v>37</v>
      </c>
      <c r="D2332" s="5" t="str">
        <f>"刘雅彬"</f>
        <v>刘雅彬</v>
      </c>
      <c r="E2332" s="5" t="str">
        <f>"女"</f>
        <v>女</v>
      </c>
      <c r="F2332" s="5" t="str">
        <f t="shared" si="242"/>
        <v>汉族</v>
      </c>
    </row>
    <row r="2333" ht="30" customHeight="1" spans="1:6">
      <c r="A2333" s="5">
        <v>2331</v>
      </c>
      <c r="B2333" s="5" t="str">
        <f>"36412022010308283873495"</f>
        <v>36412022010308283873495</v>
      </c>
      <c r="C2333" s="5" t="s">
        <v>37</v>
      </c>
      <c r="D2333" s="5" t="str">
        <f>"吴柏"</f>
        <v>吴柏</v>
      </c>
      <c r="E2333" s="5" t="str">
        <f>"男"</f>
        <v>男</v>
      </c>
      <c r="F2333" s="5" t="str">
        <f t="shared" si="242"/>
        <v>汉族</v>
      </c>
    </row>
    <row r="2334" ht="30" customHeight="1" spans="1:6">
      <c r="A2334" s="5">
        <v>2332</v>
      </c>
      <c r="B2334" s="5" t="str">
        <f>"36412022010309203273750"</f>
        <v>36412022010309203273750</v>
      </c>
      <c r="C2334" s="5" t="s">
        <v>37</v>
      </c>
      <c r="D2334" s="5" t="str">
        <f>"黄喜祥"</f>
        <v>黄喜祥</v>
      </c>
      <c r="E2334" s="5" t="str">
        <f>"女"</f>
        <v>女</v>
      </c>
      <c r="F2334" s="5" t="str">
        <f>"黎族"</f>
        <v>黎族</v>
      </c>
    </row>
    <row r="2335" ht="30" customHeight="1" spans="1:6">
      <c r="A2335" s="5">
        <v>2333</v>
      </c>
      <c r="B2335" s="5" t="str">
        <f>"36412022010318015675928"</f>
        <v>36412022010318015675928</v>
      </c>
      <c r="C2335" s="5" t="s">
        <v>37</v>
      </c>
      <c r="D2335" s="5" t="str">
        <f>"冯丽丽"</f>
        <v>冯丽丽</v>
      </c>
      <c r="E2335" s="5" t="str">
        <f>"女"</f>
        <v>女</v>
      </c>
      <c r="F2335" s="5" t="str">
        <f t="shared" ref="F2335:F2343" si="243">"汉族"</f>
        <v>汉族</v>
      </c>
    </row>
    <row r="2336" ht="30" customHeight="1" spans="1:6">
      <c r="A2336" s="5">
        <v>2334</v>
      </c>
      <c r="B2336" s="5" t="str">
        <f>"36412022010320514876466"</f>
        <v>36412022010320514876466</v>
      </c>
      <c r="C2336" s="5" t="s">
        <v>37</v>
      </c>
      <c r="D2336" s="5" t="str">
        <f>"王经宾"</f>
        <v>王经宾</v>
      </c>
      <c r="E2336" s="5" t="str">
        <f>"男"</f>
        <v>男</v>
      </c>
      <c r="F2336" s="5" t="str">
        <f t="shared" si="243"/>
        <v>汉族</v>
      </c>
    </row>
    <row r="2337" ht="30" customHeight="1" spans="1:6">
      <c r="A2337" s="5">
        <v>2335</v>
      </c>
      <c r="B2337" s="5" t="str">
        <f>"36412022010408334177220"</f>
        <v>36412022010408334177220</v>
      </c>
      <c r="C2337" s="5" t="s">
        <v>37</v>
      </c>
      <c r="D2337" s="5" t="str">
        <f>"唐紫腾"</f>
        <v>唐紫腾</v>
      </c>
      <c r="E2337" s="5" t="str">
        <f>"男"</f>
        <v>男</v>
      </c>
      <c r="F2337" s="5" t="str">
        <f t="shared" si="243"/>
        <v>汉族</v>
      </c>
    </row>
    <row r="2338" ht="30" customHeight="1" spans="1:6">
      <c r="A2338" s="5">
        <v>2336</v>
      </c>
      <c r="B2338" s="5" t="str">
        <f>"36412022010408441177284"</f>
        <v>36412022010408441177284</v>
      </c>
      <c r="C2338" s="5" t="s">
        <v>37</v>
      </c>
      <c r="D2338" s="5" t="str">
        <f>"黄炳杰"</f>
        <v>黄炳杰</v>
      </c>
      <c r="E2338" s="5" t="str">
        <f>"男"</f>
        <v>男</v>
      </c>
      <c r="F2338" s="5" t="str">
        <f t="shared" si="243"/>
        <v>汉族</v>
      </c>
    </row>
    <row r="2339" ht="30" customHeight="1" spans="1:6">
      <c r="A2339" s="5">
        <v>2337</v>
      </c>
      <c r="B2339" s="5" t="str">
        <f>"36412022010411091778508"</f>
        <v>36412022010411091778508</v>
      </c>
      <c r="C2339" s="5" t="s">
        <v>37</v>
      </c>
      <c r="D2339" s="5" t="str">
        <f>"王钰淇"</f>
        <v>王钰淇</v>
      </c>
      <c r="E2339" s="5" t="str">
        <f>"女"</f>
        <v>女</v>
      </c>
      <c r="F2339" s="5" t="str">
        <f t="shared" si="243"/>
        <v>汉族</v>
      </c>
    </row>
    <row r="2340" ht="30" customHeight="1" spans="1:6">
      <c r="A2340" s="5">
        <v>2338</v>
      </c>
      <c r="B2340" s="5" t="str">
        <f>"36412022010411571278869"</f>
        <v>36412022010411571278869</v>
      </c>
      <c r="C2340" s="5" t="s">
        <v>37</v>
      </c>
      <c r="D2340" s="5" t="str">
        <f>"黄雪润"</f>
        <v>黄雪润</v>
      </c>
      <c r="E2340" s="5" t="str">
        <f>"女"</f>
        <v>女</v>
      </c>
      <c r="F2340" s="5" t="str">
        <f t="shared" si="243"/>
        <v>汉族</v>
      </c>
    </row>
    <row r="2341" ht="30" customHeight="1" spans="1:6">
      <c r="A2341" s="5">
        <v>2339</v>
      </c>
      <c r="B2341" s="5" t="str">
        <f>"36412022010413391379321"</f>
        <v>36412022010413391379321</v>
      </c>
      <c r="C2341" s="5" t="s">
        <v>37</v>
      </c>
      <c r="D2341" s="5" t="str">
        <f>"黎天合"</f>
        <v>黎天合</v>
      </c>
      <c r="E2341" s="5" t="str">
        <f>"男"</f>
        <v>男</v>
      </c>
      <c r="F2341" s="5" t="str">
        <f t="shared" si="243"/>
        <v>汉族</v>
      </c>
    </row>
    <row r="2342" ht="30" customHeight="1" spans="1:6">
      <c r="A2342" s="5">
        <v>2340</v>
      </c>
      <c r="B2342" s="5" t="str">
        <f>"36412022010415335879916"</f>
        <v>36412022010415335879916</v>
      </c>
      <c r="C2342" s="5" t="s">
        <v>37</v>
      </c>
      <c r="D2342" s="5" t="str">
        <f>"陈盛"</f>
        <v>陈盛</v>
      </c>
      <c r="E2342" s="5" t="str">
        <f>"男"</f>
        <v>男</v>
      </c>
      <c r="F2342" s="5" t="str">
        <f t="shared" si="243"/>
        <v>汉族</v>
      </c>
    </row>
    <row r="2343" ht="30" customHeight="1" spans="1:6">
      <c r="A2343" s="5">
        <v>2341</v>
      </c>
      <c r="B2343" s="5" t="str">
        <f>"36412022010415474680014"</f>
        <v>36412022010415474680014</v>
      </c>
      <c r="C2343" s="5" t="s">
        <v>37</v>
      </c>
      <c r="D2343" s="5" t="str">
        <f>"陈玉娟"</f>
        <v>陈玉娟</v>
      </c>
      <c r="E2343" s="5" t="str">
        <f t="shared" ref="E2343:E2353" si="244">"女"</f>
        <v>女</v>
      </c>
      <c r="F2343" s="5" t="str">
        <f t="shared" si="243"/>
        <v>汉族</v>
      </c>
    </row>
    <row r="2344" ht="30" customHeight="1" spans="1:6">
      <c r="A2344" s="5">
        <v>2342</v>
      </c>
      <c r="B2344" s="5" t="str">
        <f>"36412022010416074780120"</f>
        <v>36412022010416074780120</v>
      </c>
      <c r="C2344" s="5" t="s">
        <v>37</v>
      </c>
      <c r="D2344" s="5" t="str">
        <f>"王佳佳"</f>
        <v>王佳佳</v>
      </c>
      <c r="E2344" s="5" t="str">
        <f t="shared" si="244"/>
        <v>女</v>
      </c>
      <c r="F2344" s="5" t="str">
        <f>"黎族"</f>
        <v>黎族</v>
      </c>
    </row>
    <row r="2345" ht="30" customHeight="1" spans="1:6">
      <c r="A2345" s="5">
        <v>2343</v>
      </c>
      <c r="B2345" s="5" t="str">
        <f>"36412022010416475380353"</f>
        <v>36412022010416475380353</v>
      </c>
      <c r="C2345" s="5" t="s">
        <v>37</v>
      </c>
      <c r="D2345" s="5" t="str">
        <f>"周婧慧"</f>
        <v>周婧慧</v>
      </c>
      <c r="E2345" s="5" t="str">
        <f t="shared" si="244"/>
        <v>女</v>
      </c>
      <c r="F2345" s="5" t="str">
        <f>"汉族"</f>
        <v>汉族</v>
      </c>
    </row>
    <row r="2346" ht="30" customHeight="1" spans="1:6">
      <c r="A2346" s="5">
        <v>2344</v>
      </c>
      <c r="B2346" s="5" t="str">
        <f>"36412022010421241781703"</f>
        <v>36412022010421241781703</v>
      </c>
      <c r="C2346" s="5" t="s">
        <v>37</v>
      </c>
      <c r="D2346" s="5" t="str">
        <f>"李亚轻"</f>
        <v>李亚轻</v>
      </c>
      <c r="E2346" s="5" t="str">
        <f t="shared" si="244"/>
        <v>女</v>
      </c>
      <c r="F2346" s="5" t="str">
        <f>"黎族"</f>
        <v>黎族</v>
      </c>
    </row>
    <row r="2347" ht="30" customHeight="1" spans="1:6">
      <c r="A2347" s="5">
        <v>2345</v>
      </c>
      <c r="B2347" s="5" t="str">
        <f>"36412022010508210982394"</f>
        <v>36412022010508210982394</v>
      </c>
      <c r="C2347" s="5" t="s">
        <v>37</v>
      </c>
      <c r="D2347" s="5" t="str">
        <f>"黄虹丽"</f>
        <v>黄虹丽</v>
      </c>
      <c r="E2347" s="5" t="str">
        <f t="shared" si="244"/>
        <v>女</v>
      </c>
      <c r="F2347" s="5" t="str">
        <f t="shared" ref="F2347:F2352" si="245">"汉族"</f>
        <v>汉族</v>
      </c>
    </row>
    <row r="2348" ht="30" customHeight="1" spans="1:6">
      <c r="A2348" s="5">
        <v>2346</v>
      </c>
      <c r="B2348" s="5" t="str">
        <f>"36412022010508324182419"</f>
        <v>36412022010508324182419</v>
      </c>
      <c r="C2348" s="5" t="s">
        <v>37</v>
      </c>
      <c r="D2348" s="5" t="str">
        <f>"杨小清"</f>
        <v>杨小清</v>
      </c>
      <c r="E2348" s="5" t="str">
        <f t="shared" si="244"/>
        <v>女</v>
      </c>
      <c r="F2348" s="5" t="str">
        <f t="shared" si="245"/>
        <v>汉族</v>
      </c>
    </row>
    <row r="2349" ht="30" customHeight="1" spans="1:6">
      <c r="A2349" s="5">
        <v>2347</v>
      </c>
      <c r="B2349" s="5" t="str">
        <f>"36412022010510083382901"</f>
        <v>36412022010510083382901</v>
      </c>
      <c r="C2349" s="5" t="s">
        <v>37</v>
      </c>
      <c r="D2349" s="5" t="str">
        <f>"周莹莹"</f>
        <v>周莹莹</v>
      </c>
      <c r="E2349" s="5" t="str">
        <f t="shared" si="244"/>
        <v>女</v>
      </c>
      <c r="F2349" s="5" t="str">
        <f t="shared" si="245"/>
        <v>汉族</v>
      </c>
    </row>
    <row r="2350" ht="30" customHeight="1" spans="1:6">
      <c r="A2350" s="5">
        <v>2348</v>
      </c>
      <c r="B2350" s="5" t="str">
        <f>"36412022010510454383163"</f>
        <v>36412022010510454383163</v>
      </c>
      <c r="C2350" s="5" t="s">
        <v>37</v>
      </c>
      <c r="D2350" s="5" t="str">
        <f>"何丽丁"</f>
        <v>何丽丁</v>
      </c>
      <c r="E2350" s="5" t="str">
        <f t="shared" si="244"/>
        <v>女</v>
      </c>
      <c r="F2350" s="5" t="str">
        <f t="shared" si="245"/>
        <v>汉族</v>
      </c>
    </row>
    <row r="2351" ht="30" customHeight="1" spans="1:6">
      <c r="A2351" s="5">
        <v>2349</v>
      </c>
      <c r="B2351" s="5" t="str">
        <f>"36412022010514421684337"</f>
        <v>36412022010514421684337</v>
      </c>
      <c r="C2351" s="5" t="s">
        <v>37</v>
      </c>
      <c r="D2351" s="5" t="str">
        <f>"李瑶"</f>
        <v>李瑶</v>
      </c>
      <c r="E2351" s="5" t="str">
        <f t="shared" si="244"/>
        <v>女</v>
      </c>
      <c r="F2351" s="5" t="str">
        <f t="shared" si="245"/>
        <v>汉族</v>
      </c>
    </row>
    <row r="2352" ht="30" customHeight="1" spans="1:6">
      <c r="A2352" s="5">
        <v>2350</v>
      </c>
      <c r="B2352" s="5" t="str">
        <f>"36412022010514550184404"</f>
        <v>36412022010514550184404</v>
      </c>
      <c r="C2352" s="5" t="s">
        <v>37</v>
      </c>
      <c r="D2352" s="5" t="str">
        <f>"陈泰珍"</f>
        <v>陈泰珍</v>
      </c>
      <c r="E2352" s="5" t="str">
        <f t="shared" si="244"/>
        <v>女</v>
      </c>
      <c r="F2352" s="5" t="str">
        <f t="shared" si="245"/>
        <v>汉族</v>
      </c>
    </row>
    <row r="2353" ht="30" customHeight="1" spans="1:6">
      <c r="A2353" s="5">
        <v>2351</v>
      </c>
      <c r="B2353" s="5" t="str">
        <f>"36412022010515000684433"</f>
        <v>36412022010515000684433</v>
      </c>
      <c r="C2353" s="5" t="s">
        <v>37</v>
      </c>
      <c r="D2353" s="5" t="str">
        <f>"符乃娟"</f>
        <v>符乃娟</v>
      </c>
      <c r="E2353" s="5" t="str">
        <f t="shared" si="244"/>
        <v>女</v>
      </c>
      <c r="F2353" s="5" t="str">
        <f>"黎族"</f>
        <v>黎族</v>
      </c>
    </row>
    <row r="2354" ht="30" customHeight="1" spans="1:6">
      <c r="A2354" s="5">
        <v>2352</v>
      </c>
      <c r="B2354" s="5" t="str">
        <f>"36412022010516142084857"</f>
        <v>36412022010516142084857</v>
      </c>
      <c r="C2354" s="5" t="s">
        <v>37</v>
      </c>
      <c r="D2354" s="5" t="str">
        <f>"胡声浩"</f>
        <v>胡声浩</v>
      </c>
      <c r="E2354" s="5" t="str">
        <f>"男"</f>
        <v>男</v>
      </c>
      <c r="F2354" s="5" t="str">
        <f t="shared" ref="F2354:F2367" si="246">"汉族"</f>
        <v>汉族</v>
      </c>
    </row>
    <row r="2355" ht="30" customHeight="1" spans="1:6">
      <c r="A2355" s="5">
        <v>2353</v>
      </c>
      <c r="B2355" s="5" t="str">
        <f>"36412022010610215687319"</f>
        <v>36412022010610215687319</v>
      </c>
      <c r="C2355" s="5" t="s">
        <v>37</v>
      </c>
      <c r="D2355" s="5" t="str">
        <f>"胡彩虹"</f>
        <v>胡彩虹</v>
      </c>
      <c r="E2355" s="5" t="str">
        <f t="shared" ref="E2355:E2363" si="247">"女"</f>
        <v>女</v>
      </c>
      <c r="F2355" s="5" t="str">
        <f t="shared" si="246"/>
        <v>汉族</v>
      </c>
    </row>
    <row r="2356" ht="30" customHeight="1" spans="1:6">
      <c r="A2356" s="5">
        <v>2354</v>
      </c>
      <c r="B2356" s="5" t="str">
        <f>"36412022010611355987654"</f>
        <v>36412022010611355987654</v>
      </c>
      <c r="C2356" s="5" t="s">
        <v>37</v>
      </c>
      <c r="D2356" s="5" t="str">
        <f>"陈颖颖"</f>
        <v>陈颖颖</v>
      </c>
      <c r="E2356" s="5" t="str">
        <f t="shared" si="247"/>
        <v>女</v>
      </c>
      <c r="F2356" s="5" t="str">
        <f t="shared" si="246"/>
        <v>汉族</v>
      </c>
    </row>
    <row r="2357" ht="30" customHeight="1" spans="1:6">
      <c r="A2357" s="5">
        <v>2355</v>
      </c>
      <c r="B2357" s="5" t="str">
        <f>"36412022010616001488744"</f>
        <v>36412022010616001488744</v>
      </c>
      <c r="C2357" s="5" t="s">
        <v>37</v>
      </c>
      <c r="D2357" s="5" t="str">
        <f>"余丽芳"</f>
        <v>余丽芳</v>
      </c>
      <c r="E2357" s="5" t="str">
        <f t="shared" si="247"/>
        <v>女</v>
      </c>
      <c r="F2357" s="5" t="str">
        <f t="shared" si="246"/>
        <v>汉族</v>
      </c>
    </row>
    <row r="2358" ht="30" customHeight="1" spans="1:6">
      <c r="A2358" s="5">
        <v>2356</v>
      </c>
      <c r="B2358" s="5" t="str">
        <f>"36412022010616140188817"</f>
        <v>36412022010616140188817</v>
      </c>
      <c r="C2358" s="5" t="s">
        <v>37</v>
      </c>
      <c r="D2358" s="5" t="str">
        <f>"郑凤香"</f>
        <v>郑凤香</v>
      </c>
      <c r="E2358" s="5" t="str">
        <f t="shared" si="247"/>
        <v>女</v>
      </c>
      <c r="F2358" s="5" t="str">
        <f t="shared" si="246"/>
        <v>汉族</v>
      </c>
    </row>
    <row r="2359" ht="30" customHeight="1" spans="1:6">
      <c r="A2359" s="5">
        <v>2357</v>
      </c>
      <c r="B2359" s="5" t="str">
        <f>"36412022010710370190915"</f>
        <v>36412022010710370190915</v>
      </c>
      <c r="C2359" s="5" t="s">
        <v>37</v>
      </c>
      <c r="D2359" s="5" t="str">
        <f>"肖唯鹃"</f>
        <v>肖唯鹃</v>
      </c>
      <c r="E2359" s="5" t="str">
        <f t="shared" si="247"/>
        <v>女</v>
      </c>
      <c r="F2359" s="5" t="str">
        <f t="shared" si="246"/>
        <v>汉族</v>
      </c>
    </row>
    <row r="2360" ht="30" customHeight="1" spans="1:6">
      <c r="A2360" s="5">
        <v>2358</v>
      </c>
      <c r="B2360" s="5" t="str">
        <f>"36412022010710502190975"</f>
        <v>36412022010710502190975</v>
      </c>
      <c r="C2360" s="5" t="s">
        <v>37</v>
      </c>
      <c r="D2360" s="5" t="str">
        <f>"王应轮"</f>
        <v>王应轮</v>
      </c>
      <c r="E2360" s="5" t="str">
        <f t="shared" si="247"/>
        <v>女</v>
      </c>
      <c r="F2360" s="5" t="str">
        <f t="shared" si="246"/>
        <v>汉族</v>
      </c>
    </row>
    <row r="2361" ht="30" customHeight="1" spans="1:6">
      <c r="A2361" s="5">
        <v>2359</v>
      </c>
      <c r="B2361" s="5" t="str">
        <f>"36412022010711212991098"</f>
        <v>36412022010711212991098</v>
      </c>
      <c r="C2361" s="5" t="s">
        <v>37</v>
      </c>
      <c r="D2361" s="5" t="str">
        <f>"徐月圆"</f>
        <v>徐月圆</v>
      </c>
      <c r="E2361" s="5" t="str">
        <f t="shared" si="247"/>
        <v>女</v>
      </c>
      <c r="F2361" s="5" t="str">
        <f t="shared" si="246"/>
        <v>汉族</v>
      </c>
    </row>
    <row r="2362" ht="30" customHeight="1" spans="1:6">
      <c r="A2362" s="5">
        <v>2360</v>
      </c>
      <c r="B2362" s="5" t="str">
        <f>"36412022010712342891375"</f>
        <v>36412022010712342891375</v>
      </c>
      <c r="C2362" s="5" t="s">
        <v>37</v>
      </c>
      <c r="D2362" s="5" t="str">
        <f>"邢小丹"</f>
        <v>邢小丹</v>
      </c>
      <c r="E2362" s="5" t="str">
        <f t="shared" si="247"/>
        <v>女</v>
      </c>
      <c r="F2362" s="5" t="str">
        <f t="shared" si="246"/>
        <v>汉族</v>
      </c>
    </row>
    <row r="2363" ht="30" customHeight="1" spans="1:6">
      <c r="A2363" s="5">
        <v>2361</v>
      </c>
      <c r="B2363" s="5" t="str">
        <f>"36412022010909435694678"</f>
        <v>36412022010909435694678</v>
      </c>
      <c r="C2363" s="5" t="s">
        <v>37</v>
      </c>
      <c r="D2363" s="5" t="str">
        <f>"陈淑君"</f>
        <v>陈淑君</v>
      </c>
      <c r="E2363" s="5" t="str">
        <f t="shared" si="247"/>
        <v>女</v>
      </c>
      <c r="F2363" s="5" t="str">
        <f t="shared" si="246"/>
        <v>汉族</v>
      </c>
    </row>
    <row r="2364" ht="30" customHeight="1" spans="1:6">
      <c r="A2364" s="5">
        <v>2362</v>
      </c>
      <c r="B2364" s="5" t="str">
        <f>"36412022010911395194977"</f>
        <v>36412022010911395194977</v>
      </c>
      <c r="C2364" s="5" t="s">
        <v>37</v>
      </c>
      <c r="D2364" s="5" t="str">
        <f>"郭学聪"</f>
        <v>郭学聪</v>
      </c>
      <c r="E2364" s="5" t="str">
        <f>"男"</f>
        <v>男</v>
      </c>
      <c r="F2364" s="5" t="str">
        <f t="shared" si="246"/>
        <v>汉族</v>
      </c>
    </row>
    <row r="2365" ht="30" customHeight="1" spans="1:6">
      <c r="A2365" s="5">
        <v>2363</v>
      </c>
      <c r="B2365" s="5" t="str">
        <f>"36412022010914144095295"</f>
        <v>36412022010914144095295</v>
      </c>
      <c r="C2365" s="5" t="s">
        <v>37</v>
      </c>
      <c r="D2365" s="5" t="str">
        <f>"林明兰"</f>
        <v>林明兰</v>
      </c>
      <c r="E2365" s="5" t="str">
        <f t="shared" ref="E2365:E2374" si="248">"女"</f>
        <v>女</v>
      </c>
      <c r="F2365" s="5" t="str">
        <f t="shared" si="246"/>
        <v>汉族</v>
      </c>
    </row>
    <row r="2366" ht="30" customHeight="1" spans="1:6">
      <c r="A2366" s="5">
        <v>2364</v>
      </c>
      <c r="B2366" s="5" t="str">
        <f>"36412022010915094695401"</f>
        <v>36412022010915094695401</v>
      </c>
      <c r="C2366" s="5" t="s">
        <v>37</v>
      </c>
      <c r="D2366" s="5" t="str">
        <f>"李皎余"</f>
        <v>李皎余</v>
      </c>
      <c r="E2366" s="5" t="str">
        <f t="shared" si="248"/>
        <v>女</v>
      </c>
      <c r="F2366" s="5" t="str">
        <f t="shared" si="246"/>
        <v>汉族</v>
      </c>
    </row>
    <row r="2367" ht="30" customHeight="1" spans="1:6">
      <c r="A2367" s="5">
        <v>2365</v>
      </c>
      <c r="B2367" s="5" t="str">
        <f>"36412022010919451695835"</f>
        <v>36412022010919451695835</v>
      </c>
      <c r="C2367" s="5" t="s">
        <v>37</v>
      </c>
      <c r="D2367" s="5" t="str">
        <f>"吴晓眯"</f>
        <v>吴晓眯</v>
      </c>
      <c r="E2367" s="5" t="str">
        <f t="shared" si="248"/>
        <v>女</v>
      </c>
      <c r="F2367" s="5" t="str">
        <f t="shared" si="246"/>
        <v>汉族</v>
      </c>
    </row>
    <row r="2368" ht="30" customHeight="1" spans="1:6">
      <c r="A2368" s="5">
        <v>2366</v>
      </c>
      <c r="B2368" s="5" t="str">
        <f>"36412022010921583496080"</f>
        <v>36412022010921583496080</v>
      </c>
      <c r="C2368" s="5" t="s">
        <v>37</v>
      </c>
      <c r="D2368" s="5" t="str">
        <f>"符茹欣"</f>
        <v>符茹欣</v>
      </c>
      <c r="E2368" s="5" t="str">
        <f t="shared" si="248"/>
        <v>女</v>
      </c>
      <c r="F2368" s="5" t="str">
        <f>"黎族"</f>
        <v>黎族</v>
      </c>
    </row>
    <row r="2369" ht="30" customHeight="1" spans="1:6">
      <c r="A2369" s="5">
        <v>2367</v>
      </c>
      <c r="B2369" s="5" t="str">
        <f>"36412022010922260296132"</f>
        <v>36412022010922260296132</v>
      </c>
      <c r="C2369" s="5" t="s">
        <v>37</v>
      </c>
      <c r="D2369" s="5" t="str">
        <f>"张秀双"</f>
        <v>张秀双</v>
      </c>
      <c r="E2369" s="5" t="str">
        <f t="shared" si="248"/>
        <v>女</v>
      </c>
      <c r="F2369" s="5" t="str">
        <f>"黎族"</f>
        <v>黎族</v>
      </c>
    </row>
    <row r="2370" ht="30" customHeight="1" spans="1:6">
      <c r="A2370" s="5">
        <v>2368</v>
      </c>
      <c r="B2370" s="5" t="str">
        <f>"36412022010923211596209"</f>
        <v>36412022010923211596209</v>
      </c>
      <c r="C2370" s="5" t="s">
        <v>37</v>
      </c>
      <c r="D2370" s="5" t="str">
        <f>"杨月"</f>
        <v>杨月</v>
      </c>
      <c r="E2370" s="5" t="str">
        <f t="shared" si="248"/>
        <v>女</v>
      </c>
      <c r="F2370" s="5" t="str">
        <f>"黎族"</f>
        <v>黎族</v>
      </c>
    </row>
    <row r="2371" ht="30" customHeight="1" spans="1:6">
      <c r="A2371" s="5">
        <v>2369</v>
      </c>
      <c r="B2371" s="5" t="str">
        <f>"36412022010923365096232"</f>
        <v>36412022010923365096232</v>
      </c>
      <c r="C2371" s="5" t="s">
        <v>37</v>
      </c>
      <c r="D2371" s="5" t="str">
        <f>"符秋虹"</f>
        <v>符秋虹</v>
      </c>
      <c r="E2371" s="5" t="str">
        <f t="shared" si="248"/>
        <v>女</v>
      </c>
      <c r="F2371" s="5" t="str">
        <f>"黎族"</f>
        <v>黎族</v>
      </c>
    </row>
    <row r="2372" ht="30" customHeight="1" spans="1:6">
      <c r="A2372" s="5">
        <v>2370</v>
      </c>
      <c r="B2372" s="5" t="str">
        <f>"36412022011008564396397"</f>
        <v>36412022011008564396397</v>
      </c>
      <c r="C2372" s="5" t="s">
        <v>37</v>
      </c>
      <c r="D2372" s="5" t="str">
        <f>"陆晓英"</f>
        <v>陆晓英</v>
      </c>
      <c r="E2372" s="5" t="str">
        <f t="shared" si="248"/>
        <v>女</v>
      </c>
      <c r="F2372" s="5" t="str">
        <f>"汉族"</f>
        <v>汉族</v>
      </c>
    </row>
    <row r="2373" ht="30" customHeight="1" spans="1:6">
      <c r="A2373" s="5">
        <v>2371</v>
      </c>
      <c r="B2373" s="5" t="str">
        <f>"36412022011009332396496"</f>
        <v>36412022011009332396496</v>
      </c>
      <c r="C2373" s="5" t="s">
        <v>37</v>
      </c>
      <c r="D2373" s="5" t="str">
        <f>"陈荣"</f>
        <v>陈荣</v>
      </c>
      <c r="E2373" s="5" t="str">
        <f t="shared" si="248"/>
        <v>女</v>
      </c>
      <c r="F2373" s="5" t="str">
        <f>"汉族"</f>
        <v>汉族</v>
      </c>
    </row>
    <row r="2374" ht="30" customHeight="1" spans="1:6">
      <c r="A2374" s="5">
        <v>2372</v>
      </c>
      <c r="B2374" s="5" t="str">
        <f>"36412022011010370996712"</f>
        <v>36412022011010370996712</v>
      </c>
      <c r="C2374" s="5" t="s">
        <v>37</v>
      </c>
      <c r="D2374" s="5" t="str">
        <f>"刘超"</f>
        <v>刘超</v>
      </c>
      <c r="E2374" s="5" t="str">
        <f t="shared" si="248"/>
        <v>女</v>
      </c>
      <c r="F2374" s="5" t="str">
        <f>"汉族"</f>
        <v>汉族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（合格）2021年白沙黎族自治县中小学教师招聘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2022-01-20T09:39:00Z</dcterms:created>
  <dcterms:modified xsi:type="dcterms:W3CDTF">2022-01-21T00:18:12Z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04EAC514F6CC4F33AA542B4846B62F1F</vt:lpwstr>
  </property>
  <property fmtid="{D5CDD505-2E9C-101B-9397-08002B2CF9AE}" pid="3" name="KSOProductBuildVer">
    <vt:lpwstr>2052-11.1.0.11294</vt:lpwstr>
  </property>
</Properties>
</file>