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<sst xmlns="http://schemas.openxmlformats.org/spreadsheetml/2006/main" count="872" uniqueCount="465">
  <si>
    <t>阜阳市颍东区2021年公开招聘幼儿教师体检人员名单</t>
  </si>
  <si>
    <t>序号</t>
  </si>
  <si>
    <t>报考岗位</t>
  </si>
  <si>
    <t>考场号</t>
  </si>
  <si>
    <t>座位号</t>
  </si>
  <si>
    <t>准考证号</t>
  </si>
  <si>
    <t>姓名</t>
  </si>
  <si>
    <t>学前教育专业知识成绩</t>
  </si>
  <si>
    <t>教育公共基础知识成绩</t>
  </si>
  <si>
    <t>笔试合成成绩</t>
  </si>
  <si>
    <t>专业测试成绩</t>
  </si>
  <si>
    <t>总成绩</t>
  </si>
  <si>
    <t>2021001</t>
  </si>
  <si>
    <t>赵甲滨</t>
  </si>
  <si>
    <t>谭国庆</t>
  </si>
  <si>
    <t>张娜娟</t>
  </si>
  <si>
    <t>段艺雯</t>
  </si>
  <si>
    <t>马倩倩</t>
  </si>
  <si>
    <t>纪微娜</t>
  </si>
  <si>
    <t>盛晓梅</t>
  </si>
  <si>
    <t>卢子青</t>
  </si>
  <si>
    <t>陈巧敏</t>
  </si>
  <si>
    <t>张家宜</t>
  </si>
  <si>
    <t>任道影</t>
  </si>
  <si>
    <t>曹晶晶</t>
  </si>
  <si>
    <t>陈肖肖</t>
  </si>
  <si>
    <t>邓明利</t>
  </si>
  <si>
    <t>李双睛</t>
  </si>
  <si>
    <t>闫青青</t>
  </si>
  <si>
    <t>2021002</t>
  </si>
  <si>
    <t>薛晶晶</t>
  </si>
  <si>
    <t>许小丽</t>
  </si>
  <si>
    <t>马冰冰</t>
  </si>
  <si>
    <t>关梦婷</t>
  </si>
  <si>
    <t>吴梦梦</t>
  </si>
  <si>
    <t>吕敏捷</t>
  </si>
  <si>
    <t>郭文婷</t>
  </si>
  <si>
    <t>蒋文静</t>
  </si>
  <si>
    <t>王可云</t>
  </si>
  <si>
    <t>谢娜</t>
  </si>
  <si>
    <t>张咏春</t>
  </si>
  <si>
    <t>黄孟婷</t>
  </si>
  <si>
    <t>李晶</t>
  </si>
  <si>
    <t>王俊雯</t>
  </si>
  <si>
    <t>沈梦娇</t>
  </si>
  <si>
    <t>侯田田</t>
  </si>
  <si>
    <t>2021003</t>
  </si>
  <si>
    <t>李思杭</t>
  </si>
  <si>
    <t>王漫漫</t>
  </si>
  <si>
    <t>王丹丹</t>
  </si>
  <si>
    <t>颜孟雪</t>
  </si>
  <si>
    <t>陆慧慧</t>
  </si>
  <si>
    <t>李千姿</t>
  </si>
  <si>
    <t>毛皎皎</t>
  </si>
  <si>
    <t>叶妞妞</t>
  </si>
  <si>
    <t>刘雅洁</t>
  </si>
  <si>
    <t>齐倩</t>
  </si>
  <si>
    <t>赵黎娜</t>
  </si>
  <si>
    <t>蔡梦婷</t>
  </si>
  <si>
    <t>吴艳</t>
  </si>
  <si>
    <t>冯锦文</t>
  </si>
  <si>
    <t>朱德凤</t>
  </si>
  <si>
    <t>李钦钦</t>
  </si>
  <si>
    <t>2021004</t>
  </si>
  <si>
    <t>谭萍萍</t>
  </si>
  <si>
    <t>冯秀秀</t>
  </si>
  <si>
    <t>王凤梅</t>
  </si>
  <si>
    <t>马如如</t>
  </si>
  <si>
    <t>张阿珍</t>
  </si>
  <si>
    <t>黄宇晨</t>
  </si>
  <si>
    <t>赵蒙蒙</t>
  </si>
  <si>
    <t>赵利芹</t>
  </si>
  <si>
    <t>王赛雅</t>
  </si>
  <si>
    <t>姜慧慧</t>
  </si>
  <si>
    <t>朱文瑞</t>
  </si>
  <si>
    <t>罗玉婷</t>
  </si>
  <si>
    <t>牛小如</t>
  </si>
  <si>
    <t>候利华</t>
  </si>
  <si>
    <t>任文萍</t>
  </si>
  <si>
    <t>母梦如</t>
  </si>
  <si>
    <t>2021005</t>
  </si>
  <si>
    <t>杨露露</t>
  </si>
  <si>
    <t>程懿</t>
  </si>
  <si>
    <t>王楠楠</t>
  </si>
  <si>
    <t>刘晴晴</t>
  </si>
  <si>
    <t>安婷</t>
  </si>
  <si>
    <t>马红</t>
  </si>
  <si>
    <t>刘雨晴</t>
  </si>
  <si>
    <t>李彤</t>
  </si>
  <si>
    <t>魏倩文</t>
  </si>
  <si>
    <t>徐海宁</t>
  </si>
  <si>
    <t>刘亚茹</t>
  </si>
  <si>
    <t>张亚菲</t>
  </si>
  <si>
    <t>张睦晗</t>
  </si>
  <si>
    <t>张珈硕</t>
  </si>
  <si>
    <t>贾凡</t>
  </si>
  <si>
    <t>张梦梦</t>
  </si>
  <si>
    <t>2021006</t>
  </si>
  <si>
    <t>盛夏</t>
  </si>
  <si>
    <t>韩颖颖</t>
  </si>
  <si>
    <t>杨梦迪</t>
  </si>
  <si>
    <t>翁玉倩</t>
  </si>
  <si>
    <t>刘玉</t>
  </si>
  <si>
    <t>李成成</t>
  </si>
  <si>
    <t>杜婵婵</t>
  </si>
  <si>
    <t>陈琳</t>
  </si>
  <si>
    <t>高玉玉</t>
  </si>
  <si>
    <t>丁情情</t>
  </si>
  <si>
    <t>张雨晴</t>
  </si>
  <si>
    <t>房雪晴</t>
  </si>
  <si>
    <t>丁雪情</t>
  </si>
  <si>
    <t>李梦雅</t>
  </si>
  <si>
    <t>张悦</t>
  </si>
  <si>
    <t>张万杰</t>
  </si>
  <si>
    <t>2021007</t>
  </si>
  <si>
    <t>朱金玲</t>
  </si>
  <si>
    <t>王秋歌</t>
  </si>
  <si>
    <t>刘叮叮</t>
  </si>
  <si>
    <t>林双双</t>
  </si>
  <si>
    <t>方彤</t>
  </si>
  <si>
    <t>吕慧佺</t>
  </si>
  <si>
    <t>武慢慢</t>
  </si>
  <si>
    <t>林娇</t>
  </si>
  <si>
    <t>张少文</t>
  </si>
  <si>
    <t>吴传芳</t>
  </si>
  <si>
    <t>周园园</t>
  </si>
  <si>
    <t>韩孟娟</t>
  </si>
  <si>
    <t>朱天奇</t>
  </si>
  <si>
    <t>王静玲</t>
  </si>
  <si>
    <t>韩方</t>
  </si>
  <si>
    <t>2021008</t>
  </si>
  <si>
    <t>宋燕婷</t>
  </si>
  <si>
    <t>王思慧</t>
  </si>
  <si>
    <t>王雨云</t>
  </si>
  <si>
    <t>郭东艳</t>
  </si>
  <si>
    <t>王中勤</t>
  </si>
  <si>
    <t>张静</t>
  </si>
  <si>
    <t>李梦婷</t>
  </si>
  <si>
    <t>刘逦帆</t>
  </si>
  <si>
    <t>崔梦帆</t>
  </si>
  <si>
    <t>王文静</t>
  </si>
  <si>
    <t>吴春梅</t>
  </si>
  <si>
    <t>周瑞</t>
  </si>
  <si>
    <t>赵凌娜</t>
  </si>
  <si>
    <t>祝萍</t>
  </si>
  <si>
    <t>李瑞雪</t>
  </si>
  <si>
    <t>王婷婷</t>
  </si>
  <si>
    <t>2021009</t>
  </si>
  <si>
    <t>陈慧慧</t>
  </si>
  <si>
    <t>刘娇娇</t>
  </si>
  <si>
    <t>张梦圆</t>
  </si>
  <si>
    <t>王静文</t>
  </si>
  <si>
    <t>丁锐</t>
  </si>
  <si>
    <t>周娜娜</t>
  </si>
  <si>
    <t>武明侠</t>
  </si>
  <si>
    <t>韦双聂</t>
  </si>
  <si>
    <t>李志茹</t>
  </si>
  <si>
    <t>史红慈</t>
  </si>
  <si>
    <t>刘梦洁</t>
  </si>
  <si>
    <t>赵东盼</t>
  </si>
  <si>
    <t>黄磊</t>
  </si>
  <si>
    <t>方雪</t>
  </si>
  <si>
    <t>朱琳琳</t>
  </si>
  <si>
    <t>张倩</t>
  </si>
  <si>
    <t>2021010</t>
  </si>
  <si>
    <t>侯文静</t>
  </si>
  <si>
    <t>陈晴晴</t>
  </si>
  <si>
    <t>曹丽梅</t>
  </si>
  <si>
    <t>杨梦文</t>
  </si>
  <si>
    <t>段楠楠</t>
  </si>
  <si>
    <t>王雪苓</t>
  </si>
  <si>
    <t>吴洁</t>
  </si>
  <si>
    <t>夏思雅</t>
  </si>
  <si>
    <t>余新于</t>
  </si>
  <si>
    <t>锁雨婷</t>
  </si>
  <si>
    <t>张梦雪</t>
  </si>
  <si>
    <t>王丽楠</t>
  </si>
  <si>
    <t>邵迪迪</t>
  </si>
  <si>
    <t>赵晓慧</t>
  </si>
  <si>
    <t>王沙沙</t>
  </si>
  <si>
    <t>段梦真</t>
  </si>
  <si>
    <t>2021011</t>
  </si>
  <si>
    <t>和梦雅</t>
  </si>
  <si>
    <t>李萍萍</t>
  </si>
  <si>
    <t>王珍</t>
  </si>
  <si>
    <t>王素英</t>
  </si>
  <si>
    <t>范青青</t>
  </si>
  <si>
    <t>纪晗慈</t>
  </si>
  <si>
    <t>肖亚楠</t>
  </si>
  <si>
    <t>陈飞</t>
  </si>
  <si>
    <t>于勤</t>
  </si>
  <si>
    <t>田宇婕</t>
  </si>
  <si>
    <t>郑阿情</t>
  </si>
  <si>
    <t>白雪</t>
  </si>
  <si>
    <t>郝孟如</t>
  </si>
  <si>
    <t>刘国庆</t>
  </si>
  <si>
    <t>姜维娜</t>
  </si>
  <si>
    <t>相星星</t>
  </si>
  <si>
    <t>2021012</t>
  </si>
  <si>
    <t>丁树咪</t>
  </si>
  <si>
    <t>王冬梅</t>
  </si>
  <si>
    <t>张晴晴</t>
  </si>
  <si>
    <t>范星荣</t>
  </si>
  <si>
    <t>杨盼盼</t>
  </si>
  <si>
    <t>李婷婷</t>
  </si>
  <si>
    <t>王梦</t>
  </si>
  <si>
    <t>柳甜甜</t>
  </si>
  <si>
    <t>陈敏</t>
  </si>
  <si>
    <t>黄苗苗</t>
  </si>
  <si>
    <t>孙齐齐</t>
  </si>
  <si>
    <t>周如</t>
  </si>
  <si>
    <t>许恩荣</t>
  </si>
  <si>
    <t>魏飞</t>
  </si>
  <si>
    <t>鹿庆</t>
  </si>
  <si>
    <t>李彦增</t>
  </si>
  <si>
    <t>2021013</t>
  </si>
  <si>
    <t>时梦雪</t>
  </si>
  <si>
    <t>牛露阳</t>
  </si>
  <si>
    <t>江培培</t>
  </si>
  <si>
    <t>连瑞威</t>
  </si>
  <si>
    <t>孙梦</t>
  </si>
  <si>
    <t>张梦情</t>
  </si>
  <si>
    <t>楚莎莎</t>
  </si>
  <si>
    <t>唐晓熠</t>
  </si>
  <si>
    <t>冯婉婉</t>
  </si>
  <si>
    <t>刘彦</t>
  </si>
  <si>
    <t>张蕊</t>
  </si>
  <si>
    <t>常梦勤</t>
  </si>
  <si>
    <t>刘欢欢</t>
  </si>
  <si>
    <t>程瑞</t>
  </si>
  <si>
    <t>李心如</t>
  </si>
  <si>
    <t>罗紫晴</t>
  </si>
  <si>
    <t>2021014</t>
  </si>
  <si>
    <t>汝丽</t>
  </si>
  <si>
    <t>张梦晴</t>
  </si>
  <si>
    <t>管玉雯</t>
  </si>
  <si>
    <t>赵梦雨</t>
  </si>
  <si>
    <t>陈星星</t>
  </si>
  <si>
    <t>程倩倩</t>
  </si>
  <si>
    <t>徐雅婷</t>
  </si>
  <si>
    <t>刘佳雯</t>
  </si>
  <si>
    <t>王凯悦</t>
  </si>
  <si>
    <t>辛伟亚</t>
  </si>
  <si>
    <t>朱慧晨</t>
  </si>
  <si>
    <t>张莉莉</t>
  </si>
  <si>
    <t>秦文利</t>
  </si>
  <si>
    <t>刘梦茹</t>
  </si>
  <si>
    <t>窦思文</t>
  </si>
  <si>
    <t>耿梦茹</t>
  </si>
  <si>
    <t>2021015</t>
  </si>
  <si>
    <t>锁静文</t>
  </si>
  <si>
    <t>李晓曼</t>
  </si>
  <si>
    <t>杨雨晴</t>
  </si>
  <si>
    <t>庞兰侠</t>
  </si>
  <si>
    <t>张艳</t>
  </si>
  <si>
    <t>谢田云</t>
  </si>
  <si>
    <t>袁玲玲</t>
  </si>
  <si>
    <t>周远远</t>
  </si>
  <si>
    <t>张艳丽</t>
  </si>
  <si>
    <t>徐薇薇</t>
  </si>
  <si>
    <t>完亚茹</t>
  </si>
  <si>
    <t>胡玲</t>
  </si>
  <si>
    <t>高丹丹</t>
  </si>
  <si>
    <t>张梅</t>
  </si>
  <si>
    <t>杨雅慧</t>
  </si>
  <si>
    <t>2021016</t>
  </si>
  <si>
    <t>刘卫红</t>
  </si>
  <si>
    <t>王晨晨</t>
  </si>
  <si>
    <t>毛迎</t>
  </si>
  <si>
    <t>张皓琳</t>
  </si>
  <si>
    <t>高慧</t>
  </si>
  <si>
    <t>马静</t>
  </si>
  <si>
    <t>高敏</t>
  </si>
  <si>
    <t>王雨凤</t>
  </si>
  <si>
    <t>马楠楠</t>
  </si>
  <si>
    <t>巫静文</t>
  </si>
  <si>
    <t>吴晓雨</t>
  </si>
  <si>
    <t>刘雨辰</t>
  </si>
  <si>
    <t>储亚洁</t>
  </si>
  <si>
    <t>刘晨</t>
  </si>
  <si>
    <t>杨璐琰</t>
  </si>
  <si>
    <t>2021017</t>
  </si>
  <si>
    <t>王思雷</t>
  </si>
  <si>
    <t>田淑婷</t>
  </si>
  <si>
    <t>刘克盈</t>
  </si>
  <si>
    <t>姚欣欣</t>
  </si>
  <si>
    <t>李含语</t>
  </si>
  <si>
    <t>王迪</t>
  </si>
  <si>
    <t>苏阿艳</t>
  </si>
  <si>
    <t>鲍佳慧</t>
  </si>
  <si>
    <t>徐慧紫</t>
  </si>
  <si>
    <t>张欣艳</t>
  </si>
  <si>
    <t>卞井然</t>
  </si>
  <si>
    <t>陈倩楠</t>
  </si>
  <si>
    <t>宋玉梅</t>
  </si>
  <si>
    <t>康路平</t>
  </si>
  <si>
    <t>李莹莹</t>
  </si>
  <si>
    <t>2021018</t>
  </si>
  <si>
    <t>武心语</t>
  </si>
  <si>
    <t>刘亚晗</t>
  </si>
  <si>
    <t>张新雨</t>
  </si>
  <si>
    <t>董一帆</t>
  </si>
  <si>
    <t>王腾腾</t>
  </si>
  <si>
    <t>陈玲</t>
  </si>
  <si>
    <t>桑慧慧</t>
  </si>
  <si>
    <t>陆倩倩</t>
  </si>
  <si>
    <t>凡梦蝶</t>
  </si>
  <si>
    <t>贺欢欢</t>
  </si>
  <si>
    <t>王近近</t>
  </si>
  <si>
    <t>吴桂萍</t>
  </si>
  <si>
    <t>张方方</t>
  </si>
  <si>
    <t>潘宁雅</t>
  </si>
  <si>
    <t>刘梦</t>
  </si>
  <si>
    <t>董园园</t>
  </si>
  <si>
    <t>2021019</t>
  </si>
  <si>
    <t>胡静</t>
  </si>
  <si>
    <t>胥瑞瑞</t>
  </si>
  <si>
    <t>王倩倩</t>
  </si>
  <si>
    <t>马蓓蓓</t>
  </si>
  <si>
    <t>武烟云</t>
  </si>
  <si>
    <t>丁艳</t>
  </si>
  <si>
    <t>管嘉玲</t>
  </si>
  <si>
    <t>王晶晶</t>
  </si>
  <si>
    <t>吕晴</t>
  </si>
  <si>
    <t>李晓雅</t>
  </si>
  <si>
    <t>杜振男</t>
  </si>
  <si>
    <t>吕雪晴</t>
  </si>
  <si>
    <t>陈盈</t>
  </si>
  <si>
    <t>马晓婷</t>
  </si>
  <si>
    <t>刘诗雯</t>
  </si>
  <si>
    <t>徐梦</t>
  </si>
  <si>
    <t>2021020</t>
  </si>
  <si>
    <t>王欣钰</t>
  </si>
  <si>
    <t>郭斯齐</t>
  </si>
  <si>
    <t>付悦</t>
  </si>
  <si>
    <t>李芮芮</t>
  </si>
  <si>
    <t>冯曼婷</t>
  </si>
  <si>
    <t>刘志芳</t>
  </si>
  <si>
    <t>2021021</t>
  </si>
  <si>
    <t>李梅</t>
  </si>
  <si>
    <t>尤小蝶</t>
  </si>
  <si>
    <t>秦春敏</t>
  </si>
  <si>
    <t>吴曼曼</t>
  </si>
  <si>
    <t>谢二妮</t>
  </si>
  <si>
    <t>刘婉玉</t>
  </si>
  <si>
    <t>张盼</t>
  </si>
  <si>
    <t>王路路</t>
  </si>
  <si>
    <t>马坤坤</t>
  </si>
  <si>
    <t>丁瑞瑞</t>
  </si>
  <si>
    <t>吴静宇</t>
  </si>
  <si>
    <t>田方方</t>
  </si>
  <si>
    <t>孙幼苗</t>
  </si>
  <si>
    <t>于圆圆</t>
  </si>
  <si>
    <t>胡广平</t>
  </si>
  <si>
    <t>赵利萍</t>
  </si>
  <si>
    <t>2021022</t>
  </si>
  <si>
    <t>唐自立</t>
  </si>
  <si>
    <t>吴婷婷</t>
  </si>
  <si>
    <t>孙博博</t>
  </si>
  <si>
    <t>朱迎迎</t>
  </si>
  <si>
    <t>陈莎莎</t>
  </si>
  <si>
    <t>李梦文</t>
  </si>
  <si>
    <t>洪思雨</t>
  </si>
  <si>
    <t>王瑞</t>
  </si>
  <si>
    <t>满一慧</t>
  </si>
  <si>
    <t>张子怡</t>
  </si>
  <si>
    <t>2021023</t>
  </si>
  <si>
    <t>朱宇</t>
  </si>
  <si>
    <t>毛雯静</t>
  </si>
  <si>
    <t>高圆圆</t>
  </si>
  <si>
    <t>徐儒琳</t>
  </si>
  <si>
    <t>陈悦悦</t>
  </si>
  <si>
    <t>赵玉琴</t>
  </si>
  <si>
    <t>张云玲</t>
  </si>
  <si>
    <t>张迪迪</t>
  </si>
  <si>
    <t>侯莹</t>
  </si>
  <si>
    <t>乔诗雯</t>
  </si>
  <si>
    <t>李雨奇</t>
  </si>
  <si>
    <t>纪曼曼</t>
  </si>
  <si>
    <t>王楠</t>
  </si>
  <si>
    <t>陈元元</t>
  </si>
  <si>
    <t>常寻寻</t>
  </si>
  <si>
    <t>2021024</t>
  </si>
  <si>
    <t>陈瑞琳</t>
  </si>
  <si>
    <t>付安娜</t>
  </si>
  <si>
    <t>张凤</t>
  </si>
  <si>
    <t>王甜甜</t>
  </si>
  <si>
    <t>李思念</t>
  </si>
  <si>
    <t>刘梦雪</t>
  </si>
  <si>
    <t>姜晶晶</t>
  </si>
  <si>
    <t>徐亚南</t>
  </si>
  <si>
    <t>李雪婷</t>
  </si>
  <si>
    <t>韦永杰</t>
  </si>
  <si>
    <t>桑星晨</t>
  </si>
  <si>
    <t>岳信信</t>
  </si>
  <si>
    <t>卢莉洁</t>
  </si>
  <si>
    <t>钱琼琼</t>
  </si>
  <si>
    <t>段圆兰</t>
  </si>
  <si>
    <t>杨灿</t>
  </si>
  <si>
    <t>2021025</t>
  </si>
  <si>
    <t>尤悦悦</t>
  </si>
  <si>
    <t>江星晨</t>
  </si>
  <si>
    <t>陆宁宁</t>
  </si>
  <si>
    <t>张宝如</t>
  </si>
  <si>
    <t>侯文珊</t>
  </si>
  <si>
    <t>刘粤</t>
  </si>
  <si>
    <t>李欣</t>
  </si>
  <si>
    <t>贾翠</t>
  </si>
  <si>
    <t>袁士玉</t>
  </si>
  <si>
    <t>张树文</t>
  </si>
  <si>
    <t>舒梅</t>
  </si>
  <si>
    <t>马玉荣</t>
  </si>
  <si>
    <t>王孟</t>
  </si>
  <si>
    <t>牛晓萍</t>
  </si>
  <si>
    <t>杨楠楠</t>
  </si>
  <si>
    <t>苏琴琴</t>
  </si>
  <si>
    <t>2021026</t>
  </si>
  <si>
    <t>孟娇娇</t>
  </si>
  <si>
    <t>蒋靖雯</t>
  </si>
  <si>
    <t>闫恩慧</t>
  </si>
  <si>
    <t>刘璇</t>
  </si>
  <si>
    <t>唐娜娜</t>
  </si>
  <si>
    <t>张丽君</t>
  </si>
  <si>
    <t>牛瑞华</t>
  </si>
  <si>
    <t>张梦</t>
  </si>
  <si>
    <t>段园娟</t>
  </si>
  <si>
    <t>刘婉君</t>
  </si>
  <si>
    <t>高晴利</t>
  </si>
  <si>
    <t>蔡贝贝</t>
  </si>
  <si>
    <t>武亭亭</t>
  </si>
  <si>
    <t>张春梅</t>
  </si>
  <si>
    <t>李宁</t>
  </si>
  <si>
    <t>2021027</t>
  </si>
  <si>
    <t>周景群</t>
  </si>
  <si>
    <t>任运侠</t>
  </si>
  <si>
    <t>朱远音</t>
  </si>
  <si>
    <t>刘慧慧</t>
  </si>
  <si>
    <t>刘晓梦</t>
  </si>
  <si>
    <t>王雪连</t>
  </si>
  <si>
    <t>牛利艳</t>
  </si>
  <si>
    <t>程明</t>
  </si>
  <si>
    <t>莫意慧</t>
  </si>
  <si>
    <t>廉芷若</t>
  </si>
  <si>
    <t>焦宝宝</t>
  </si>
  <si>
    <t>王静</t>
  </si>
  <si>
    <t>王惠惠</t>
  </si>
  <si>
    <t>尹天娇</t>
  </si>
  <si>
    <t>赵欢欢</t>
  </si>
  <si>
    <t>2021028</t>
  </si>
  <si>
    <t>冉文慧</t>
  </si>
  <si>
    <t>刘紫薇</t>
  </si>
  <si>
    <t>何欣欣</t>
  </si>
  <si>
    <t>杜雷娟</t>
  </si>
  <si>
    <t>邓蒙娜</t>
  </si>
  <si>
    <t>胡珊珊</t>
  </si>
  <si>
    <t>李晓晴</t>
  </si>
  <si>
    <t>陈晶晶</t>
  </si>
  <si>
    <t>李陶丽</t>
  </si>
  <si>
    <t>高雅晴</t>
  </si>
  <si>
    <t>孙佳慧</t>
  </si>
  <si>
    <t>陈想想</t>
  </si>
  <si>
    <t>宋晓蝶</t>
  </si>
  <si>
    <t>刘秀</t>
  </si>
  <si>
    <t>李玉洁</t>
  </si>
  <si>
    <t>张萍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</si>
</sst>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1" borderId="5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6" fontId="5" fillId="3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theme="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2"/>
  <sheetViews>
    <sheetView tabSelected="1" workbookViewId="0">
      <selection activeCell="A1" sqref="A1:K1"/>
    </sheetView>
  </sheetViews>
  <sheetFormatPr defaultColWidth="9" defaultRowHeight="13.5"/>
  <cols>
    <col min="5" max="5" width="12" customWidth="1"/>
    <col min="6" max="6" width="9" style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7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3" t="s">
        <v>10</v>
      </c>
      <c r="K2" s="3" t="s">
        <v>11</v>
      </c>
    </row>
    <row r="3" ht="14.25" spans="1:11">
      <c r="A3" s="7">
        <v>1</v>
      </c>
      <c r="B3" s="7" t="s">
        <v>12</v>
      </c>
      <c r="C3" s="7" t="str">
        <f>"02"</f>
        <v>02</v>
      </c>
      <c r="D3" s="7" t="str">
        <f>"15"</f>
        <v>15</v>
      </c>
      <c r="E3" s="7" t="str">
        <f>"20210010215"</f>
        <v>20210010215</v>
      </c>
      <c r="F3" s="7" t="s">
        <v>13</v>
      </c>
      <c r="G3" s="7">
        <v>70</v>
      </c>
      <c r="H3" s="7">
        <v>83</v>
      </c>
      <c r="I3" s="8">
        <f t="shared" ref="I3:I66" si="0">G3*0.7+H3*0.3</f>
        <v>73.9</v>
      </c>
      <c r="J3" s="7">
        <v>84.9</v>
      </c>
      <c r="K3" s="7">
        <f t="shared" ref="K3:K66" si="1">I3*0.6+J3*0.4</f>
        <v>78.3</v>
      </c>
    </row>
    <row r="4" ht="14.25" spans="1:11">
      <c r="A4" s="7">
        <v>2</v>
      </c>
      <c r="B4" s="7" t="s">
        <v>12</v>
      </c>
      <c r="C4" s="7" t="str">
        <f t="shared" ref="C4:C8" si="2">"01"</f>
        <v>01</v>
      </c>
      <c r="D4" s="7" t="str">
        <f>"27"</f>
        <v>27</v>
      </c>
      <c r="E4" s="7" t="str">
        <f>"20210010127"</f>
        <v>20210010127</v>
      </c>
      <c r="F4" s="7" t="s">
        <v>14</v>
      </c>
      <c r="G4" s="7">
        <v>74</v>
      </c>
      <c r="H4" s="7">
        <v>80</v>
      </c>
      <c r="I4" s="8">
        <f t="shared" si="0"/>
        <v>75.8</v>
      </c>
      <c r="J4" s="7">
        <v>77.2</v>
      </c>
      <c r="K4" s="7">
        <f t="shared" si="1"/>
        <v>76.36</v>
      </c>
    </row>
    <row r="5" ht="14.25" spans="1:11">
      <c r="A5" s="7">
        <v>3</v>
      </c>
      <c r="B5" s="7" t="s">
        <v>12</v>
      </c>
      <c r="C5" s="7" t="str">
        <f t="shared" si="2"/>
        <v>01</v>
      </c>
      <c r="D5" s="7" t="str">
        <f>"28"</f>
        <v>28</v>
      </c>
      <c r="E5" s="7" t="str">
        <f>"20210010128"</f>
        <v>20210010128</v>
      </c>
      <c r="F5" s="7" t="s">
        <v>15</v>
      </c>
      <c r="G5" s="7">
        <v>75</v>
      </c>
      <c r="H5" s="7">
        <v>85</v>
      </c>
      <c r="I5" s="8">
        <f t="shared" si="0"/>
        <v>78</v>
      </c>
      <c r="J5" s="7">
        <v>73.8</v>
      </c>
      <c r="K5" s="7">
        <f t="shared" si="1"/>
        <v>76.32</v>
      </c>
    </row>
    <row r="6" ht="14.25" spans="1:11">
      <c r="A6" s="7">
        <v>4</v>
      </c>
      <c r="B6" s="7" t="s">
        <v>12</v>
      </c>
      <c r="C6" s="7" t="str">
        <f t="shared" ref="C6:C15" si="3">"02"</f>
        <v>02</v>
      </c>
      <c r="D6" s="7" t="str">
        <f>"11"</f>
        <v>11</v>
      </c>
      <c r="E6" s="7" t="str">
        <f>"20210010211"</f>
        <v>20210010211</v>
      </c>
      <c r="F6" s="7" t="s">
        <v>16</v>
      </c>
      <c r="G6" s="7">
        <v>71</v>
      </c>
      <c r="H6" s="7">
        <v>73</v>
      </c>
      <c r="I6" s="8">
        <f t="shared" si="0"/>
        <v>71.6</v>
      </c>
      <c r="J6" s="7">
        <v>81.6</v>
      </c>
      <c r="K6" s="7">
        <f t="shared" si="1"/>
        <v>75.6</v>
      </c>
    </row>
    <row r="7" ht="14.25" spans="1:11">
      <c r="A7" s="7">
        <v>5</v>
      </c>
      <c r="B7" s="7" t="s">
        <v>12</v>
      </c>
      <c r="C7" s="7" t="str">
        <f t="shared" si="2"/>
        <v>01</v>
      </c>
      <c r="D7" s="7" t="str">
        <f>"03"</f>
        <v>03</v>
      </c>
      <c r="E7" s="7" t="str">
        <f>"20210010103"</f>
        <v>20210010103</v>
      </c>
      <c r="F7" s="7" t="s">
        <v>17</v>
      </c>
      <c r="G7" s="7">
        <v>60.5</v>
      </c>
      <c r="H7" s="7">
        <v>80</v>
      </c>
      <c r="I7" s="8">
        <f t="shared" si="0"/>
        <v>66.35</v>
      </c>
      <c r="J7" s="7">
        <v>86.8</v>
      </c>
      <c r="K7" s="7">
        <f t="shared" si="1"/>
        <v>74.53</v>
      </c>
    </row>
    <row r="8" ht="14.25" spans="1:11">
      <c r="A8" s="7">
        <v>6</v>
      </c>
      <c r="B8" s="7" t="s">
        <v>12</v>
      </c>
      <c r="C8" s="7" t="str">
        <f t="shared" si="2"/>
        <v>01</v>
      </c>
      <c r="D8" s="7" t="str">
        <f>"29"</f>
        <v>29</v>
      </c>
      <c r="E8" s="7" t="str">
        <f>"20210010129"</f>
        <v>20210010129</v>
      </c>
      <c r="F8" s="7" t="s">
        <v>18</v>
      </c>
      <c r="G8" s="7">
        <v>59.5</v>
      </c>
      <c r="H8" s="7">
        <v>82</v>
      </c>
      <c r="I8" s="8">
        <f t="shared" si="0"/>
        <v>66.25</v>
      </c>
      <c r="J8" s="7">
        <v>81</v>
      </c>
      <c r="K8" s="7">
        <f t="shared" si="1"/>
        <v>72.15</v>
      </c>
    </row>
    <row r="9" ht="14.25" spans="1:11">
      <c r="A9" s="7">
        <v>7</v>
      </c>
      <c r="B9" s="7" t="s">
        <v>12</v>
      </c>
      <c r="C9" s="7" t="str">
        <f t="shared" si="3"/>
        <v>02</v>
      </c>
      <c r="D9" s="7" t="str">
        <f>"16"</f>
        <v>16</v>
      </c>
      <c r="E9" s="7" t="str">
        <f>"20210010216"</f>
        <v>20210010216</v>
      </c>
      <c r="F9" s="7" t="s">
        <v>19</v>
      </c>
      <c r="G9" s="7">
        <v>59</v>
      </c>
      <c r="H9" s="7">
        <v>84</v>
      </c>
      <c r="I9" s="8">
        <f t="shared" si="0"/>
        <v>66.5</v>
      </c>
      <c r="J9" s="7">
        <v>80.2</v>
      </c>
      <c r="K9" s="7">
        <f t="shared" si="1"/>
        <v>71.98</v>
      </c>
    </row>
    <row r="10" ht="14.25" spans="1:11">
      <c r="A10" s="7">
        <v>8</v>
      </c>
      <c r="B10" s="7" t="s">
        <v>12</v>
      </c>
      <c r="C10" s="7" t="str">
        <f t="shared" si="3"/>
        <v>02</v>
      </c>
      <c r="D10" s="7" t="str">
        <f>"23"</f>
        <v>23</v>
      </c>
      <c r="E10" s="7" t="str">
        <f>"20210010223"</f>
        <v>20210010223</v>
      </c>
      <c r="F10" s="7" t="s">
        <v>20</v>
      </c>
      <c r="G10" s="7">
        <v>56</v>
      </c>
      <c r="H10" s="7">
        <v>79</v>
      </c>
      <c r="I10" s="8">
        <f t="shared" si="0"/>
        <v>62.9</v>
      </c>
      <c r="J10" s="7">
        <v>80</v>
      </c>
      <c r="K10" s="7">
        <f t="shared" si="1"/>
        <v>69.74</v>
      </c>
    </row>
    <row r="11" ht="14.25" spans="1:11">
      <c r="A11" s="7">
        <v>9</v>
      </c>
      <c r="B11" s="7" t="s">
        <v>12</v>
      </c>
      <c r="C11" s="7" t="str">
        <f t="shared" si="3"/>
        <v>02</v>
      </c>
      <c r="D11" s="7" t="str">
        <f>"06"</f>
        <v>06</v>
      </c>
      <c r="E11" s="7" t="str">
        <f>"20210010206"</f>
        <v>20210010206</v>
      </c>
      <c r="F11" s="7" t="s">
        <v>21</v>
      </c>
      <c r="G11" s="7">
        <v>57.5</v>
      </c>
      <c r="H11" s="7">
        <v>74</v>
      </c>
      <c r="I11" s="8">
        <f t="shared" si="0"/>
        <v>62.45</v>
      </c>
      <c r="J11" s="7">
        <v>74.6</v>
      </c>
      <c r="K11" s="7">
        <f t="shared" si="1"/>
        <v>67.31</v>
      </c>
    </row>
    <row r="12" ht="14.25" spans="1:11">
      <c r="A12" s="7">
        <v>10</v>
      </c>
      <c r="B12" s="7" t="s">
        <v>12</v>
      </c>
      <c r="C12" s="7" t="str">
        <f t="shared" si="3"/>
        <v>02</v>
      </c>
      <c r="D12" s="7" t="str">
        <f>"01"</f>
        <v>01</v>
      </c>
      <c r="E12" s="7" t="str">
        <f>"20210010201"</f>
        <v>20210010201</v>
      </c>
      <c r="F12" s="7" t="s">
        <v>22</v>
      </c>
      <c r="G12" s="7">
        <v>71.5</v>
      </c>
      <c r="H12" s="7">
        <v>67</v>
      </c>
      <c r="I12" s="8">
        <f t="shared" si="0"/>
        <v>70.15</v>
      </c>
      <c r="J12" s="7">
        <v>62.6</v>
      </c>
      <c r="K12" s="7">
        <f t="shared" si="1"/>
        <v>67.13</v>
      </c>
    </row>
    <row r="13" ht="14.25" spans="1:11">
      <c r="A13" s="7">
        <v>11</v>
      </c>
      <c r="B13" s="7" t="s">
        <v>12</v>
      </c>
      <c r="C13" s="7" t="str">
        <f t="shared" si="3"/>
        <v>02</v>
      </c>
      <c r="D13" s="7" t="str">
        <f>"19"</f>
        <v>19</v>
      </c>
      <c r="E13" s="7" t="str">
        <f>"20210010219"</f>
        <v>20210010219</v>
      </c>
      <c r="F13" s="7" t="s">
        <v>23</v>
      </c>
      <c r="G13" s="7">
        <v>63.5</v>
      </c>
      <c r="H13" s="7">
        <v>62</v>
      </c>
      <c r="I13" s="8">
        <f t="shared" si="0"/>
        <v>63.05</v>
      </c>
      <c r="J13" s="7">
        <v>73.2</v>
      </c>
      <c r="K13" s="7">
        <f t="shared" si="1"/>
        <v>67.11</v>
      </c>
    </row>
    <row r="14" ht="14.25" spans="1:11">
      <c r="A14" s="7">
        <v>12</v>
      </c>
      <c r="B14" s="7" t="s">
        <v>12</v>
      </c>
      <c r="C14" s="7" t="str">
        <f t="shared" si="3"/>
        <v>02</v>
      </c>
      <c r="D14" s="7" t="str">
        <f>"09"</f>
        <v>09</v>
      </c>
      <c r="E14" s="7" t="str">
        <f>"20210010209"</f>
        <v>20210010209</v>
      </c>
      <c r="F14" s="7" t="s">
        <v>24</v>
      </c>
      <c r="G14" s="7">
        <v>53</v>
      </c>
      <c r="H14" s="7">
        <v>66</v>
      </c>
      <c r="I14" s="8">
        <f t="shared" si="0"/>
        <v>56.9</v>
      </c>
      <c r="J14" s="7">
        <v>80.2</v>
      </c>
      <c r="K14" s="7">
        <f t="shared" si="1"/>
        <v>66.22</v>
      </c>
    </row>
    <row r="15" ht="14.25" spans="1:11">
      <c r="A15" s="7">
        <v>13</v>
      </c>
      <c r="B15" s="7" t="s">
        <v>12</v>
      </c>
      <c r="C15" s="7" t="str">
        <f t="shared" si="3"/>
        <v>02</v>
      </c>
      <c r="D15" s="7" t="str">
        <f>"25"</f>
        <v>25</v>
      </c>
      <c r="E15" s="7" t="str">
        <f>"20210010225"</f>
        <v>20210010225</v>
      </c>
      <c r="F15" s="7" t="s">
        <v>25</v>
      </c>
      <c r="G15" s="7">
        <v>51.5</v>
      </c>
      <c r="H15" s="7">
        <v>60</v>
      </c>
      <c r="I15" s="8">
        <f t="shared" si="0"/>
        <v>54.05</v>
      </c>
      <c r="J15" s="7">
        <v>80.2</v>
      </c>
      <c r="K15" s="7">
        <f t="shared" si="1"/>
        <v>64.51</v>
      </c>
    </row>
    <row r="16" ht="14.25" spans="1:11">
      <c r="A16" s="7">
        <v>14</v>
      </c>
      <c r="B16" s="7" t="s">
        <v>12</v>
      </c>
      <c r="C16" s="7" t="str">
        <f>"01"</f>
        <v>01</v>
      </c>
      <c r="D16" s="7" t="str">
        <f>"20"</f>
        <v>20</v>
      </c>
      <c r="E16" s="7" t="str">
        <f>"20210010120"</f>
        <v>20210010120</v>
      </c>
      <c r="F16" s="7" t="s">
        <v>26</v>
      </c>
      <c r="G16" s="7">
        <v>51</v>
      </c>
      <c r="H16" s="7">
        <v>77</v>
      </c>
      <c r="I16" s="8">
        <f t="shared" si="0"/>
        <v>58.8</v>
      </c>
      <c r="J16" s="7">
        <v>71</v>
      </c>
      <c r="K16" s="7">
        <f t="shared" si="1"/>
        <v>63.68</v>
      </c>
    </row>
    <row r="17" ht="14.25" spans="1:11">
      <c r="A17" s="7">
        <v>15</v>
      </c>
      <c r="B17" s="7" t="s">
        <v>12</v>
      </c>
      <c r="C17" s="7" t="str">
        <f>"01"</f>
        <v>01</v>
      </c>
      <c r="D17" s="7" t="str">
        <f>"21"</f>
        <v>21</v>
      </c>
      <c r="E17" s="7" t="str">
        <f>"20210010121"</f>
        <v>20210010121</v>
      </c>
      <c r="F17" s="7" t="s">
        <v>27</v>
      </c>
      <c r="G17" s="7">
        <v>52</v>
      </c>
      <c r="H17" s="7">
        <v>48</v>
      </c>
      <c r="I17" s="8">
        <f t="shared" si="0"/>
        <v>50.8</v>
      </c>
      <c r="J17" s="7">
        <v>79</v>
      </c>
      <c r="K17" s="7">
        <f t="shared" si="1"/>
        <v>62.08</v>
      </c>
    </row>
    <row r="18" ht="14.25" spans="1:11">
      <c r="A18" s="7">
        <v>16</v>
      </c>
      <c r="B18" s="7" t="s">
        <v>12</v>
      </c>
      <c r="C18" s="7" t="str">
        <f>"02"</f>
        <v>02</v>
      </c>
      <c r="D18" s="7" t="str">
        <f>"29"</f>
        <v>29</v>
      </c>
      <c r="E18" s="7" t="str">
        <f>"20210010229"</f>
        <v>20210010229</v>
      </c>
      <c r="F18" s="7" t="s">
        <v>28</v>
      </c>
      <c r="G18" s="7">
        <v>54.5</v>
      </c>
      <c r="H18" s="7">
        <v>60</v>
      </c>
      <c r="I18" s="8">
        <f t="shared" si="0"/>
        <v>56.15</v>
      </c>
      <c r="J18" s="7">
        <v>70.8</v>
      </c>
      <c r="K18" s="7">
        <f t="shared" si="1"/>
        <v>62.01</v>
      </c>
    </row>
    <row r="19" ht="14.25" spans="1:11">
      <c r="A19" s="7">
        <v>17</v>
      </c>
      <c r="B19" s="7" t="s">
        <v>29</v>
      </c>
      <c r="C19" s="7" t="str">
        <f>"05"</f>
        <v>05</v>
      </c>
      <c r="D19" s="7" t="str">
        <f>"02"</f>
        <v>02</v>
      </c>
      <c r="E19" s="7" t="str">
        <f>"20210020502"</f>
        <v>20210020502</v>
      </c>
      <c r="F19" s="7" t="s">
        <v>30</v>
      </c>
      <c r="G19" s="7">
        <v>77</v>
      </c>
      <c r="H19" s="7">
        <v>91</v>
      </c>
      <c r="I19" s="8">
        <f t="shared" si="0"/>
        <v>81.2</v>
      </c>
      <c r="J19" s="7">
        <v>85.6</v>
      </c>
      <c r="K19" s="7">
        <f t="shared" si="1"/>
        <v>82.96</v>
      </c>
    </row>
    <row r="20" ht="14.25" spans="1:11">
      <c r="A20" s="7">
        <v>18</v>
      </c>
      <c r="B20" s="7" t="s">
        <v>29</v>
      </c>
      <c r="C20" s="7" t="str">
        <f t="shared" ref="C20:C30" si="4">"04"</f>
        <v>04</v>
      </c>
      <c r="D20" s="7" t="str">
        <f>"16"</f>
        <v>16</v>
      </c>
      <c r="E20" s="7" t="str">
        <f>"20210020416"</f>
        <v>20210020416</v>
      </c>
      <c r="F20" s="7" t="s">
        <v>31</v>
      </c>
      <c r="G20" s="7">
        <v>86</v>
      </c>
      <c r="H20" s="7">
        <v>81</v>
      </c>
      <c r="I20" s="8">
        <f t="shared" si="0"/>
        <v>84.5</v>
      </c>
      <c r="J20" s="7">
        <v>76</v>
      </c>
      <c r="K20" s="7">
        <f t="shared" si="1"/>
        <v>81.1</v>
      </c>
    </row>
    <row r="21" ht="14.25" spans="1:11">
      <c r="A21" s="7">
        <v>19</v>
      </c>
      <c r="B21" s="7" t="s">
        <v>29</v>
      </c>
      <c r="C21" s="7" t="str">
        <f t="shared" si="4"/>
        <v>04</v>
      </c>
      <c r="D21" s="7" t="str">
        <f>"07"</f>
        <v>07</v>
      </c>
      <c r="E21" s="7" t="str">
        <f>"20210020407"</f>
        <v>20210020407</v>
      </c>
      <c r="F21" s="7" t="s">
        <v>32</v>
      </c>
      <c r="G21" s="7">
        <v>82</v>
      </c>
      <c r="H21" s="7">
        <v>84</v>
      </c>
      <c r="I21" s="8">
        <f t="shared" si="0"/>
        <v>82.6</v>
      </c>
      <c r="J21" s="7">
        <v>78.2</v>
      </c>
      <c r="K21" s="7">
        <f t="shared" si="1"/>
        <v>80.84</v>
      </c>
    </row>
    <row r="22" ht="14.25" spans="1:11">
      <c r="A22" s="7">
        <v>20</v>
      </c>
      <c r="B22" s="7" t="s">
        <v>29</v>
      </c>
      <c r="C22" s="7" t="str">
        <f t="shared" si="4"/>
        <v>04</v>
      </c>
      <c r="D22" s="7" t="str">
        <f>"20"</f>
        <v>20</v>
      </c>
      <c r="E22" s="7" t="str">
        <f>"20210020420"</f>
        <v>20210020420</v>
      </c>
      <c r="F22" s="7" t="s">
        <v>33</v>
      </c>
      <c r="G22" s="7">
        <v>77.5</v>
      </c>
      <c r="H22" s="7">
        <v>83</v>
      </c>
      <c r="I22" s="8">
        <f t="shared" si="0"/>
        <v>79.15</v>
      </c>
      <c r="J22" s="7">
        <v>82.6</v>
      </c>
      <c r="K22" s="7">
        <f t="shared" si="1"/>
        <v>80.53</v>
      </c>
    </row>
    <row r="23" ht="14.25" spans="1:11">
      <c r="A23" s="7">
        <v>21</v>
      </c>
      <c r="B23" s="7" t="s">
        <v>29</v>
      </c>
      <c r="C23" s="7" t="str">
        <f t="shared" si="4"/>
        <v>04</v>
      </c>
      <c r="D23" s="7" t="str">
        <f>"04"</f>
        <v>04</v>
      </c>
      <c r="E23" s="7" t="str">
        <f>"20210020404"</f>
        <v>20210020404</v>
      </c>
      <c r="F23" s="7" t="s">
        <v>34</v>
      </c>
      <c r="G23" s="7">
        <v>73</v>
      </c>
      <c r="H23" s="7">
        <v>89</v>
      </c>
      <c r="I23" s="8">
        <f t="shared" si="0"/>
        <v>77.8</v>
      </c>
      <c r="J23" s="7">
        <v>78</v>
      </c>
      <c r="K23" s="7">
        <f t="shared" si="1"/>
        <v>77.88</v>
      </c>
    </row>
    <row r="24" ht="14.25" spans="1:11">
      <c r="A24" s="7">
        <v>22</v>
      </c>
      <c r="B24" s="7" t="s">
        <v>29</v>
      </c>
      <c r="C24" s="7" t="str">
        <f t="shared" si="4"/>
        <v>04</v>
      </c>
      <c r="D24" s="7" t="str">
        <f>"25"</f>
        <v>25</v>
      </c>
      <c r="E24" s="7" t="str">
        <f>"20210020425"</f>
        <v>20210020425</v>
      </c>
      <c r="F24" s="7" t="s">
        <v>35</v>
      </c>
      <c r="G24" s="7">
        <v>74</v>
      </c>
      <c r="H24" s="7">
        <v>75</v>
      </c>
      <c r="I24" s="8">
        <f t="shared" si="0"/>
        <v>74.3</v>
      </c>
      <c r="J24" s="7">
        <v>81.8</v>
      </c>
      <c r="K24" s="7">
        <f t="shared" si="1"/>
        <v>77.3</v>
      </c>
    </row>
    <row r="25" ht="14.25" spans="1:11">
      <c r="A25" s="7">
        <v>23</v>
      </c>
      <c r="B25" s="7" t="s">
        <v>29</v>
      </c>
      <c r="C25" s="7" t="str">
        <f t="shared" si="4"/>
        <v>04</v>
      </c>
      <c r="D25" s="7" t="str">
        <f>"23"</f>
        <v>23</v>
      </c>
      <c r="E25" s="7" t="str">
        <f>"20210020423"</f>
        <v>20210020423</v>
      </c>
      <c r="F25" s="7" t="s">
        <v>36</v>
      </c>
      <c r="G25" s="7">
        <v>70</v>
      </c>
      <c r="H25" s="7">
        <v>82</v>
      </c>
      <c r="I25" s="8">
        <f t="shared" si="0"/>
        <v>73.6</v>
      </c>
      <c r="J25" s="7">
        <v>82.8</v>
      </c>
      <c r="K25" s="7">
        <f t="shared" si="1"/>
        <v>77.28</v>
      </c>
    </row>
    <row r="26" ht="14.25" spans="1:11">
      <c r="A26" s="7">
        <v>24</v>
      </c>
      <c r="B26" s="7" t="s">
        <v>29</v>
      </c>
      <c r="C26" s="7" t="str">
        <f t="shared" si="4"/>
        <v>04</v>
      </c>
      <c r="D26" s="7" t="str">
        <f>"08"</f>
        <v>08</v>
      </c>
      <c r="E26" s="7" t="str">
        <f>"20210020408"</f>
        <v>20210020408</v>
      </c>
      <c r="F26" s="7" t="s">
        <v>37</v>
      </c>
      <c r="G26" s="7">
        <v>75</v>
      </c>
      <c r="H26" s="7">
        <v>79</v>
      </c>
      <c r="I26" s="8">
        <f t="shared" si="0"/>
        <v>76.2</v>
      </c>
      <c r="J26" s="7">
        <v>77.6</v>
      </c>
      <c r="K26" s="7">
        <f t="shared" si="1"/>
        <v>76.76</v>
      </c>
    </row>
    <row r="27" ht="14.25" spans="1:11">
      <c r="A27" s="7">
        <v>25</v>
      </c>
      <c r="B27" s="7" t="s">
        <v>29</v>
      </c>
      <c r="C27" s="7" t="str">
        <f t="shared" si="4"/>
        <v>04</v>
      </c>
      <c r="D27" s="7" t="str">
        <f>"21"</f>
        <v>21</v>
      </c>
      <c r="E27" s="7" t="str">
        <f>"20210020421"</f>
        <v>20210020421</v>
      </c>
      <c r="F27" s="7" t="s">
        <v>38</v>
      </c>
      <c r="G27" s="7">
        <v>80</v>
      </c>
      <c r="H27" s="7">
        <v>75</v>
      </c>
      <c r="I27" s="8">
        <f t="shared" si="0"/>
        <v>78.5</v>
      </c>
      <c r="J27" s="7">
        <v>74</v>
      </c>
      <c r="K27" s="7">
        <f t="shared" si="1"/>
        <v>76.7</v>
      </c>
    </row>
    <row r="28" ht="14.25" spans="1:11">
      <c r="A28" s="7">
        <v>26</v>
      </c>
      <c r="B28" s="7" t="s">
        <v>29</v>
      </c>
      <c r="C28" s="7" t="str">
        <f t="shared" si="4"/>
        <v>04</v>
      </c>
      <c r="D28" s="7" t="str">
        <f>"28"</f>
        <v>28</v>
      </c>
      <c r="E28" s="7" t="str">
        <f>"20210020428"</f>
        <v>20210020428</v>
      </c>
      <c r="F28" s="7" t="s">
        <v>39</v>
      </c>
      <c r="G28" s="7">
        <v>68</v>
      </c>
      <c r="H28" s="7">
        <v>75</v>
      </c>
      <c r="I28" s="8">
        <f t="shared" si="0"/>
        <v>70.1</v>
      </c>
      <c r="J28" s="7">
        <v>84.8</v>
      </c>
      <c r="K28" s="7">
        <f t="shared" si="1"/>
        <v>75.98</v>
      </c>
    </row>
    <row r="29" ht="14.25" spans="1:11">
      <c r="A29" s="7">
        <v>27</v>
      </c>
      <c r="B29" s="7" t="s">
        <v>29</v>
      </c>
      <c r="C29" s="7" t="str">
        <f t="shared" si="4"/>
        <v>04</v>
      </c>
      <c r="D29" s="7" t="str">
        <f>"09"</f>
        <v>09</v>
      </c>
      <c r="E29" s="7" t="str">
        <f>"20210020409"</f>
        <v>20210020409</v>
      </c>
      <c r="F29" s="7" t="s">
        <v>40</v>
      </c>
      <c r="G29" s="7">
        <v>73</v>
      </c>
      <c r="H29" s="7">
        <v>79</v>
      </c>
      <c r="I29" s="8">
        <f t="shared" si="0"/>
        <v>74.8</v>
      </c>
      <c r="J29" s="7">
        <v>74.6</v>
      </c>
      <c r="K29" s="7">
        <f t="shared" si="1"/>
        <v>74.72</v>
      </c>
    </row>
    <row r="30" ht="14.25" spans="1:11">
      <c r="A30" s="7">
        <v>28</v>
      </c>
      <c r="B30" s="7" t="s">
        <v>29</v>
      </c>
      <c r="C30" s="7" t="str">
        <f t="shared" si="4"/>
        <v>04</v>
      </c>
      <c r="D30" s="7" t="str">
        <f>"26"</f>
        <v>26</v>
      </c>
      <c r="E30" s="7" t="str">
        <f>"20210020426"</f>
        <v>20210020426</v>
      </c>
      <c r="F30" s="7" t="s">
        <v>41</v>
      </c>
      <c r="G30" s="7">
        <v>75</v>
      </c>
      <c r="H30" s="7">
        <v>77</v>
      </c>
      <c r="I30" s="8">
        <f t="shared" si="0"/>
        <v>75.6</v>
      </c>
      <c r="J30" s="7">
        <v>73.2</v>
      </c>
      <c r="K30" s="7">
        <f t="shared" si="1"/>
        <v>74.64</v>
      </c>
    </row>
    <row r="31" ht="14.25" spans="1:11">
      <c r="A31" s="7">
        <v>29</v>
      </c>
      <c r="B31" s="7" t="s">
        <v>29</v>
      </c>
      <c r="C31" s="7" t="str">
        <f t="shared" ref="C31:C37" si="5">"05"</f>
        <v>05</v>
      </c>
      <c r="D31" s="7" t="str">
        <f>"15"</f>
        <v>15</v>
      </c>
      <c r="E31" s="7" t="str">
        <f>"20210020515"</f>
        <v>20210020515</v>
      </c>
      <c r="F31" s="7" t="s">
        <v>42</v>
      </c>
      <c r="G31" s="7">
        <v>78</v>
      </c>
      <c r="H31" s="7">
        <v>79</v>
      </c>
      <c r="I31" s="8">
        <f t="shared" si="0"/>
        <v>78.3</v>
      </c>
      <c r="J31" s="7">
        <v>62.4</v>
      </c>
      <c r="K31" s="7">
        <f t="shared" si="1"/>
        <v>71.94</v>
      </c>
    </row>
    <row r="32" ht="14.25" spans="1:11">
      <c r="A32" s="7">
        <v>30</v>
      </c>
      <c r="B32" s="7" t="s">
        <v>29</v>
      </c>
      <c r="C32" s="7" t="str">
        <f>"04"</f>
        <v>04</v>
      </c>
      <c r="D32" s="7" t="str">
        <f>"22"</f>
        <v>22</v>
      </c>
      <c r="E32" s="7" t="str">
        <f>"20210020422"</f>
        <v>20210020422</v>
      </c>
      <c r="F32" s="7" t="s">
        <v>43</v>
      </c>
      <c r="G32" s="7">
        <v>67</v>
      </c>
      <c r="H32" s="7">
        <v>76</v>
      </c>
      <c r="I32" s="8">
        <f t="shared" si="0"/>
        <v>69.7</v>
      </c>
      <c r="J32" s="7">
        <v>74.6</v>
      </c>
      <c r="K32" s="7">
        <f t="shared" si="1"/>
        <v>71.66</v>
      </c>
    </row>
    <row r="33" ht="14.25" spans="1:11">
      <c r="A33" s="7">
        <v>31</v>
      </c>
      <c r="B33" s="7" t="s">
        <v>29</v>
      </c>
      <c r="C33" s="7" t="str">
        <f>"03"</f>
        <v>03</v>
      </c>
      <c r="D33" s="7" t="str">
        <f>"13"</f>
        <v>13</v>
      </c>
      <c r="E33" s="7" t="str">
        <f>"20210020313"</f>
        <v>20210020313</v>
      </c>
      <c r="F33" s="7" t="s">
        <v>44</v>
      </c>
      <c r="G33" s="7">
        <v>64</v>
      </c>
      <c r="H33" s="7">
        <v>71</v>
      </c>
      <c r="I33" s="8">
        <f t="shared" si="0"/>
        <v>66.1</v>
      </c>
      <c r="J33" s="7">
        <v>77.6</v>
      </c>
      <c r="K33" s="7">
        <f t="shared" si="1"/>
        <v>70.7</v>
      </c>
    </row>
    <row r="34" ht="14.25" spans="1:11">
      <c r="A34" s="7">
        <v>32</v>
      </c>
      <c r="B34" s="7" t="s">
        <v>29</v>
      </c>
      <c r="C34" s="7" t="str">
        <f>"03"</f>
        <v>03</v>
      </c>
      <c r="D34" s="7" t="str">
        <f>"08"</f>
        <v>08</v>
      </c>
      <c r="E34" s="7" t="str">
        <f>"20210020308"</f>
        <v>20210020308</v>
      </c>
      <c r="F34" s="7" t="s">
        <v>45</v>
      </c>
      <c r="G34" s="7">
        <v>60</v>
      </c>
      <c r="H34" s="7">
        <v>76</v>
      </c>
      <c r="I34" s="8">
        <f t="shared" si="0"/>
        <v>64.8</v>
      </c>
      <c r="J34" s="7">
        <v>78.8</v>
      </c>
      <c r="K34" s="7">
        <f t="shared" si="1"/>
        <v>70.4</v>
      </c>
    </row>
    <row r="35" ht="14.25" spans="1:11">
      <c r="A35" s="7">
        <v>33</v>
      </c>
      <c r="B35" s="7" t="s">
        <v>46</v>
      </c>
      <c r="C35" s="7" t="str">
        <f t="shared" si="5"/>
        <v>05</v>
      </c>
      <c r="D35" s="7" t="str">
        <f>"25"</f>
        <v>25</v>
      </c>
      <c r="E35" s="7" t="str">
        <f>"20210030525"</f>
        <v>20210030525</v>
      </c>
      <c r="F35" s="7" t="s">
        <v>47</v>
      </c>
      <c r="G35" s="7">
        <v>83</v>
      </c>
      <c r="H35" s="7">
        <v>87</v>
      </c>
      <c r="I35" s="8">
        <f t="shared" si="0"/>
        <v>84.2</v>
      </c>
      <c r="J35" s="7">
        <v>80.4</v>
      </c>
      <c r="K35" s="7">
        <f t="shared" si="1"/>
        <v>82.68</v>
      </c>
    </row>
    <row r="36" ht="14.25" spans="1:11">
      <c r="A36" s="7">
        <v>34</v>
      </c>
      <c r="B36" s="7" t="s">
        <v>46</v>
      </c>
      <c r="C36" s="7" t="str">
        <f t="shared" si="5"/>
        <v>05</v>
      </c>
      <c r="D36" s="7" t="str">
        <f>"30"</f>
        <v>30</v>
      </c>
      <c r="E36" s="7" t="str">
        <f>"20210030530"</f>
        <v>20210030530</v>
      </c>
      <c r="F36" s="7" t="s">
        <v>48</v>
      </c>
      <c r="G36" s="7">
        <v>77</v>
      </c>
      <c r="H36" s="7">
        <v>88</v>
      </c>
      <c r="I36" s="8">
        <f t="shared" si="0"/>
        <v>80.3</v>
      </c>
      <c r="J36" s="7">
        <v>80.6</v>
      </c>
      <c r="K36" s="7">
        <f t="shared" si="1"/>
        <v>80.42</v>
      </c>
    </row>
    <row r="37" ht="14.25" spans="1:11">
      <c r="A37" s="7">
        <v>35</v>
      </c>
      <c r="B37" s="7" t="s">
        <v>46</v>
      </c>
      <c r="C37" s="7" t="str">
        <f t="shared" si="5"/>
        <v>05</v>
      </c>
      <c r="D37" s="7" t="str">
        <f>"23"</f>
        <v>23</v>
      </c>
      <c r="E37" s="7" t="str">
        <f>"20210030523"</f>
        <v>20210030523</v>
      </c>
      <c r="F37" s="7" t="s">
        <v>49</v>
      </c>
      <c r="G37" s="7">
        <v>79.5</v>
      </c>
      <c r="H37" s="7">
        <v>86</v>
      </c>
      <c r="I37" s="8">
        <f t="shared" si="0"/>
        <v>81.45</v>
      </c>
      <c r="J37" s="7">
        <v>78.8</v>
      </c>
      <c r="K37" s="7">
        <f t="shared" si="1"/>
        <v>80.39</v>
      </c>
    </row>
    <row r="38" ht="14.25" spans="1:11">
      <c r="A38" s="7">
        <v>36</v>
      </c>
      <c r="B38" s="7" t="s">
        <v>46</v>
      </c>
      <c r="C38" s="7" t="str">
        <f>"06"</f>
        <v>06</v>
      </c>
      <c r="D38" s="7" t="str">
        <f>"12"</f>
        <v>12</v>
      </c>
      <c r="E38" s="7" t="str">
        <f>"20210030612"</f>
        <v>20210030612</v>
      </c>
      <c r="F38" s="7" t="s">
        <v>50</v>
      </c>
      <c r="G38" s="7">
        <v>78</v>
      </c>
      <c r="H38" s="7">
        <v>85</v>
      </c>
      <c r="I38" s="8">
        <f t="shared" si="0"/>
        <v>80.1</v>
      </c>
      <c r="J38" s="7">
        <v>79</v>
      </c>
      <c r="K38" s="7">
        <f t="shared" si="1"/>
        <v>79.66</v>
      </c>
    </row>
    <row r="39" ht="14.25" spans="1:11">
      <c r="A39" s="7">
        <v>37</v>
      </c>
      <c r="B39" s="7" t="s">
        <v>46</v>
      </c>
      <c r="C39" s="7" t="str">
        <f t="shared" ref="C39:C43" si="6">"05"</f>
        <v>05</v>
      </c>
      <c r="D39" s="7" t="str">
        <f>"29"</f>
        <v>29</v>
      </c>
      <c r="E39" s="7" t="str">
        <f>"20210030529"</f>
        <v>20210030529</v>
      </c>
      <c r="F39" s="7" t="s">
        <v>51</v>
      </c>
      <c r="G39" s="7">
        <v>82</v>
      </c>
      <c r="H39" s="7">
        <v>91</v>
      </c>
      <c r="I39" s="8">
        <f t="shared" si="0"/>
        <v>84.7</v>
      </c>
      <c r="J39" s="7">
        <v>70.2</v>
      </c>
      <c r="K39" s="7">
        <f t="shared" si="1"/>
        <v>78.9</v>
      </c>
    </row>
    <row r="40" ht="14.25" spans="1:11">
      <c r="A40" s="7">
        <v>38</v>
      </c>
      <c r="B40" s="7" t="s">
        <v>46</v>
      </c>
      <c r="C40" s="7" t="str">
        <f t="shared" si="6"/>
        <v>05</v>
      </c>
      <c r="D40" s="7" t="str">
        <f>"19"</f>
        <v>19</v>
      </c>
      <c r="E40" s="7" t="str">
        <f>"20210030519"</f>
        <v>20210030519</v>
      </c>
      <c r="F40" s="7" t="s">
        <v>52</v>
      </c>
      <c r="G40" s="7">
        <v>73</v>
      </c>
      <c r="H40" s="7">
        <v>88</v>
      </c>
      <c r="I40" s="8">
        <f t="shared" si="0"/>
        <v>77.5</v>
      </c>
      <c r="J40" s="7">
        <v>77.8</v>
      </c>
      <c r="K40" s="7">
        <f t="shared" si="1"/>
        <v>77.62</v>
      </c>
    </row>
    <row r="41" ht="14.25" spans="1:11">
      <c r="A41" s="7">
        <v>39</v>
      </c>
      <c r="B41" s="7" t="s">
        <v>46</v>
      </c>
      <c r="C41" s="7" t="str">
        <f>"07"</f>
        <v>07</v>
      </c>
      <c r="D41" s="7" t="str">
        <f>"14"</f>
        <v>14</v>
      </c>
      <c r="E41" s="7" t="str">
        <f>"20210030714"</f>
        <v>20210030714</v>
      </c>
      <c r="F41" s="7" t="s">
        <v>53</v>
      </c>
      <c r="G41" s="7">
        <v>82</v>
      </c>
      <c r="H41" s="7">
        <v>77</v>
      </c>
      <c r="I41" s="8">
        <f t="shared" si="0"/>
        <v>80.5</v>
      </c>
      <c r="J41" s="7">
        <v>72.6</v>
      </c>
      <c r="K41" s="7">
        <f t="shared" si="1"/>
        <v>77.34</v>
      </c>
    </row>
    <row r="42" ht="14.25" spans="1:11">
      <c r="A42" s="7">
        <v>40</v>
      </c>
      <c r="B42" s="7" t="s">
        <v>46</v>
      </c>
      <c r="C42" s="7" t="str">
        <f t="shared" ref="C42:C50" si="7">"06"</f>
        <v>06</v>
      </c>
      <c r="D42" s="7" t="str">
        <f>"30"</f>
        <v>30</v>
      </c>
      <c r="E42" s="7" t="str">
        <f>"20210030630"</f>
        <v>20210030630</v>
      </c>
      <c r="F42" s="7" t="s">
        <v>54</v>
      </c>
      <c r="G42" s="7">
        <v>72</v>
      </c>
      <c r="H42" s="7">
        <v>77</v>
      </c>
      <c r="I42" s="8">
        <f t="shared" si="0"/>
        <v>73.5</v>
      </c>
      <c r="J42" s="7">
        <v>79.2</v>
      </c>
      <c r="K42" s="7">
        <f t="shared" si="1"/>
        <v>75.78</v>
      </c>
    </row>
    <row r="43" ht="14.25" spans="1:11">
      <c r="A43" s="7">
        <v>41</v>
      </c>
      <c r="B43" s="7" t="s">
        <v>46</v>
      </c>
      <c r="C43" s="7" t="str">
        <f t="shared" si="6"/>
        <v>05</v>
      </c>
      <c r="D43" s="7" t="str">
        <f>"22"</f>
        <v>22</v>
      </c>
      <c r="E43" s="7" t="str">
        <f>"20210030522"</f>
        <v>20210030522</v>
      </c>
      <c r="F43" s="7" t="s">
        <v>55</v>
      </c>
      <c r="G43" s="7">
        <v>72</v>
      </c>
      <c r="H43" s="7">
        <v>73</v>
      </c>
      <c r="I43" s="8">
        <f t="shared" si="0"/>
        <v>72.3</v>
      </c>
      <c r="J43" s="7">
        <v>80.2</v>
      </c>
      <c r="K43" s="7">
        <f t="shared" si="1"/>
        <v>75.46</v>
      </c>
    </row>
    <row r="44" ht="14.25" spans="1:11">
      <c r="A44" s="7">
        <v>42</v>
      </c>
      <c r="B44" s="7" t="s">
        <v>46</v>
      </c>
      <c r="C44" s="7" t="str">
        <f t="shared" si="7"/>
        <v>06</v>
      </c>
      <c r="D44" s="7" t="str">
        <f>"29"</f>
        <v>29</v>
      </c>
      <c r="E44" s="7" t="str">
        <f>"20210030629"</f>
        <v>20210030629</v>
      </c>
      <c r="F44" s="7" t="s">
        <v>56</v>
      </c>
      <c r="G44" s="7">
        <v>73</v>
      </c>
      <c r="H44" s="7">
        <v>74</v>
      </c>
      <c r="I44" s="8">
        <f t="shared" si="0"/>
        <v>73.3</v>
      </c>
      <c r="J44" s="7">
        <v>76.4</v>
      </c>
      <c r="K44" s="7">
        <f t="shared" si="1"/>
        <v>74.54</v>
      </c>
    </row>
    <row r="45" ht="14.25" spans="1:11">
      <c r="A45" s="7">
        <v>43</v>
      </c>
      <c r="B45" s="7" t="s">
        <v>46</v>
      </c>
      <c r="C45" s="7" t="str">
        <f>"05"</f>
        <v>05</v>
      </c>
      <c r="D45" s="7" t="str">
        <f>"28"</f>
        <v>28</v>
      </c>
      <c r="E45" s="7" t="str">
        <f>"20210030528"</f>
        <v>20210030528</v>
      </c>
      <c r="F45" s="7" t="s">
        <v>57</v>
      </c>
      <c r="G45" s="7">
        <v>77</v>
      </c>
      <c r="H45" s="7">
        <v>86</v>
      </c>
      <c r="I45" s="8">
        <f t="shared" si="0"/>
        <v>79.7</v>
      </c>
      <c r="J45" s="7">
        <v>66.6</v>
      </c>
      <c r="K45" s="7">
        <f t="shared" si="1"/>
        <v>74.46</v>
      </c>
    </row>
    <row r="46" ht="14.25" spans="1:11">
      <c r="A46" s="7">
        <v>44</v>
      </c>
      <c r="B46" s="7" t="s">
        <v>46</v>
      </c>
      <c r="C46" s="7" t="str">
        <f>"07"</f>
        <v>07</v>
      </c>
      <c r="D46" s="7" t="str">
        <f>"02"</f>
        <v>02</v>
      </c>
      <c r="E46" s="7" t="str">
        <f>"20210030702"</f>
        <v>20210030702</v>
      </c>
      <c r="F46" s="7" t="s">
        <v>58</v>
      </c>
      <c r="G46" s="7">
        <v>67</v>
      </c>
      <c r="H46" s="7">
        <v>86</v>
      </c>
      <c r="I46" s="8">
        <f t="shared" si="0"/>
        <v>72.7</v>
      </c>
      <c r="J46" s="7">
        <v>77</v>
      </c>
      <c r="K46" s="7">
        <f t="shared" si="1"/>
        <v>74.42</v>
      </c>
    </row>
    <row r="47" ht="14.25" spans="1:11">
      <c r="A47" s="7">
        <v>45</v>
      </c>
      <c r="B47" s="7" t="s">
        <v>46</v>
      </c>
      <c r="C47" s="7" t="str">
        <f t="shared" si="7"/>
        <v>06</v>
      </c>
      <c r="D47" s="7" t="str">
        <f>"07"</f>
        <v>07</v>
      </c>
      <c r="E47" s="7" t="str">
        <f>"20210030607"</f>
        <v>20210030607</v>
      </c>
      <c r="F47" s="7" t="s">
        <v>59</v>
      </c>
      <c r="G47" s="7">
        <v>69</v>
      </c>
      <c r="H47" s="7">
        <v>78</v>
      </c>
      <c r="I47" s="8">
        <f t="shared" si="0"/>
        <v>71.7</v>
      </c>
      <c r="J47" s="7">
        <v>77</v>
      </c>
      <c r="K47" s="7">
        <f t="shared" si="1"/>
        <v>73.82</v>
      </c>
    </row>
    <row r="48" ht="14.25" spans="1:11">
      <c r="A48" s="7">
        <v>46</v>
      </c>
      <c r="B48" s="7" t="s">
        <v>46</v>
      </c>
      <c r="C48" s="7" t="str">
        <f t="shared" si="7"/>
        <v>06</v>
      </c>
      <c r="D48" s="7" t="str">
        <f>"04"</f>
        <v>04</v>
      </c>
      <c r="E48" s="7" t="str">
        <f>"20210030604"</f>
        <v>20210030604</v>
      </c>
      <c r="F48" s="7" t="s">
        <v>60</v>
      </c>
      <c r="G48" s="7">
        <v>61</v>
      </c>
      <c r="H48" s="7">
        <v>82</v>
      </c>
      <c r="I48" s="8">
        <f t="shared" si="0"/>
        <v>67.3</v>
      </c>
      <c r="J48" s="7">
        <v>80.6</v>
      </c>
      <c r="K48" s="7">
        <f t="shared" si="1"/>
        <v>72.62</v>
      </c>
    </row>
    <row r="49" ht="14.25" spans="1:11">
      <c r="A49" s="7">
        <v>47</v>
      </c>
      <c r="B49" s="7" t="s">
        <v>46</v>
      </c>
      <c r="C49" s="7" t="str">
        <f t="shared" si="7"/>
        <v>06</v>
      </c>
      <c r="D49" s="7" t="str">
        <f>"20"</f>
        <v>20</v>
      </c>
      <c r="E49" s="7" t="str">
        <f>"20210030620"</f>
        <v>20210030620</v>
      </c>
      <c r="F49" s="7" t="s">
        <v>61</v>
      </c>
      <c r="G49" s="7">
        <v>64</v>
      </c>
      <c r="H49" s="7">
        <v>83</v>
      </c>
      <c r="I49" s="8">
        <f t="shared" si="0"/>
        <v>69.7</v>
      </c>
      <c r="J49" s="7">
        <v>75.8</v>
      </c>
      <c r="K49" s="7">
        <f t="shared" si="1"/>
        <v>72.14</v>
      </c>
    </row>
    <row r="50" ht="14.25" spans="1:11">
      <c r="A50" s="7">
        <v>48</v>
      </c>
      <c r="B50" s="7" t="s">
        <v>46</v>
      </c>
      <c r="C50" s="7" t="str">
        <f t="shared" si="7"/>
        <v>06</v>
      </c>
      <c r="D50" s="7" t="str">
        <f>"17"</f>
        <v>17</v>
      </c>
      <c r="E50" s="7" t="str">
        <f>"20210030617"</f>
        <v>20210030617</v>
      </c>
      <c r="F50" s="7" t="s">
        <v>62</v>
      </c>
      <c r="G50" s="7">
        <v>68</v>
      </c>
      <c r="H50" s="7">
        <v>73</v>
      </c>
      <c r="I50" s="8">
        <f t="shared" si="0"/>
        <v>69.5</v>
      </c>
      <c r="J50" s="7">
        <v>76</v>
      </c>
      <c r="K50" s="7">
        <f t="shared" si="1"/>
        <v>72.1</v>
      </c>
    </row>
    <row r="51" ht="14.25" spans="1:11">
      <c r="A51" s="7">
        <v>49</v>
      </c>
      <c r="B51" s="7" t="s">
        <v>63</v>
      </c>
      <c r="C51" s="7" t="str">
        <f t="shared" ref="C51:C53" si="8">"08"</f>
        <v>08</v>
      </c>
      <c r="D51" s="7" t="str">
        <f>"12"</f>
        <v>12</v>
      </c>
      <c r="E51" s="7" t="str">
        <f>"20210040812"</f>
        <v>20210040812</v>
      </c>
      <c r="F51" s="7" t="s">
        <v>64</v>
      </c>
      <c r="G51" s="7">
        <v>83</v>
      </c>
      <c r="H51" s="7">
        <v>81</v>
      </c>
      <c r="I51" s="8">
        <f t="shared" si="0"/>
        <v>82.4</v>
      </c>
      <c r="J51" s="7">
        <v>80.8</v>
      </c>
      <c r="K51" s="7">
        <f t="shared" si="1"/>
        <v>81.76</v>
      </c>
    </row>
    <row r="52" ht="14.25" spans="1:11">
      <c r="A52" s="7">
        <v>50</v>
      </c>
      <c r="B52" s="7" t="s">
        <v>63</v>
      </c>
      <c r="C52" s="7" t="str">
        <f t="shared" si="8"/>
        <v>08</v>
      </c>
      <c r="D52" s="7" t="str">
        <f>"24"</f>
        <v>24</v>
      </c>
      <c r="E52" s="7" t="str">
        <f>"20210040824"</f>
        <v>20210040824</v>
      </c>
      <c r="F52" s="7" t="s">
        <v>65</v>
      </c>
      <c r="G52" s="7">
        <v>63</v>
      </c>
      <c r="H52" s="7">
        <v>81</v>
      </c>
      <c r="I52" s="8">
        <f t="shared" si="0"/>
        <v>68.4</v>
      </c>
      <c r="J52" s="7">
        <v>86.6</v>
      </c>
      <c r="K52" s="7">
        <f t="shared" si="1"/>
        <v>75.68</v>
      </c>
    </row>
    <row r="53" ht="14.25" spans="1:11">
      <c r="A53" s="7">
        <v>51</v>
      </c>
      <c r="B53" s="7" t="s">
        <v>63</v>
      </c>
      <c r="C53" s="7" t="str">
        <f t="shared" si="8"/>
        <v>08</v>
      </c>
      <c r="D53" s="7" t="str">
        <f>"10"</f>
        <v>10</v>
      </c>
      <c r="E53" s="7" t="str">
        <f>"20210040810"</f>
        <v>20210040810</v>
      </c>
      <c r="F53" s="7" t="s">
        <v>66</v>
      </c>
      <c r="G53" s="7">
        <v>63</v>
      </c>
      <c r="H53" s="7">
        <v>89</v>
      </c>
      <c r="I53" s="8">
        <f t="shared" si="0"/>
        <v>70.8</v>
      </c>
      <c r="J53" s="7">
        <v>82.8</v>
      </c>
      <c r="K53" s="7">
        <f t="shared" si="1"/>
        <v>75.6</v>
      </c>
    </row>
    <row r="54" ht="14.25" spans="1:11">
      <c r="A54" s="7">
        <v>52</v>
      </c>
      <c r="B54" s="7" t="s">
        <v>63</v>
      </c>
      <c r="C54" s="7" t="str">
        <f t="shared" ref="C54:C58" si="9">"09"</f>
        <v>09</v>
      </c>
      <c r="D54" s="7" t="str">
        <f>"22"</f>
        <v>22</v>
      </c>
      <c r="E54" s="7" t="str">
        <f>"20210040922"</f>
        <v>20210040922</v>
      </c>
      <c r="F54" s="7" t="s">
        <v>67</v>
      </c>
      <c r="G54" s="7">
        <v>75</v>
      </c>
      <c r="H54" s="7">
        <v>66</v>
      </c>
      <c r="I54" s="8">
        <f t="shared" si="0"/>
        <v>72.3</v>
      </c>
      <c r="J54" s="7">
        <v>78.2</v>
      </c>
      <c r="K54" s="7">
        <f t="shared" si="1"/>
        <v>74.66</v>
      </c>
    </row>
    <row r="55" ht="14.25" spans="1:11">
      <c r="A55" s="7">
        <v>53</v>
      </c>
      <c r="B55" s="7" t="s">
        <v>63</v>
      </c>
      <c r="C55" s="7" t="str">
        <f t="shared" ref="C55:C59" si="10">"08"</f>
        <v>08</v>
      </c>
      <c r="D55" s="7" t="str">
        <f>"16"</f>
        <v>16</v>
      </c>
      <c r="E55" s="7" t="str">
        <f>"20210040816"</f>
        <v>20210040816</v>
      </c>
      <c r="F55" s="7" t="s">
        <v>68</v>
      </c>
      <c r="G55" s="7">
        <v>65</v>
      </c>
      <c r="H55" s="7">
        <v>86</v>
      </c>
      <c r="I55" s="8">
        <f t="shared" si="0"/>
        <v>71.3</v>
      </c>
      <c r="J55" s="7">
        <v>77.6</v>
      </c>
      <c r="K55" s="7">
        <f t="shared" si="1"/>
        <v>73.82</v>
      </c>
    </row>
    <row r="56" ht="14.25" spans="1:11">
      <c r="A56" s="7">
        <v>54</v>
      </c>
      <c r="B56" s="7" t="s">
        <v>63</v>
      </c>
      <c r="C56" s="7" t="str">
        <f t="shared" si="10"/>
        <v>08</v>
      </c>
      <c r="D56" s="7" t="str">
        <f>"29"</f>
        <v>29</v>
      </c>
      <c r="E56" s="7" t="str">
        <f>"20210040829"</f>
        <v>20210040829</v>
      </c>
      <c r="F56" s="7" t="s">
        <v>69</v>
      </c>
      <c r="G56" s="7">
        <v>65</v>
      </c>
      <c r="H56" s="7">
        <v>79</v>
      </c>
      <c r="I56" s="8">
        <f t="shared" si="0"/>
        <v>69.2</v>
      </c>
      <c r="J56" s="7">
        <v>79</v>
      </c>
      <c r="K56" s="7">
        <f t="shared" si="1"/>
        <v>73.12</v>
      </c>
    </row>
    <row r="57" ht="14.25" spans="1:11">
      <c r="A57" s="7">
        <v>55</v>
      </c>
      <c r="B57" s="7" t="s">
        <v>63</v>
      </c>
      <c r="C57" s="7" t="str">
        <f t="shared" si="9"/>
        <v>09</v>
      </c>
      <c r="D57" s="7" t="str">
        <f>"08"</f>
        <v>08</v>
      </c>
      <c r="E57" s="7" t="str">
        <f>"20210040908"</f>
        <v>20210040908</v>
      </c>
      <c r="F57" s="7" t="s">
        <v>70</v>
      </c>
      <c r="G57" s="7">
        <v>69.5</v>
      </c>
      <c r="H57" s="7">
        <v>70</v>
      </c>
      <c r="I57" s="8">
        <f t="shared" si="0"/>
        <v>69.65</v>
      </c>
      <c r="J57" s="7">
        <v>78</v>
      </c>
      <c r="K57" s="7">
        <f t="shared" si="1"/>
        <v>72.99</v>
      </c>
    </row>
    <row r="58" ht="14.25" spans="1:11">
      <c r="A58" s="7">
        <v>56</v>
      </c>
      <c r="B58" s="7" t="s">
        <v>63</v>
      </c>
      <c r="C58" s="7" t="str">
        <f t="shared" si="9"/>
        <v>09</v>
      </c>
      <c r="D58" s="7" t="str">
        <f>"15"</f>
        <v>15</v>
      </c>
      <c r="E58" s="7" t="str">
        <f>"20210040915"</f>
        <v>20210040915</v>
      </c>
      <c r="F58" s="7" t="s">
        <v>71</v>
      </c>
      <c r="G58" s="7">
        <v>69</v>
      </c>
      <c r="H58" s="7">
        <v>70</v>
      </c>
      <c r="I58" s="8">
        <f t="shared" si="0"/>
        <v>69.3</v>
      </c>
      <c r="J58" s="7">
        <v>76.8</v>
      </c>
      <c r="K58" s="7">
        <f t="shared" si="1"/>
        <v>72.3</v>
      </c>
    </row>
    <row r="59" ht="14.25" spans="1:11">
      <c r="A59" s="7">
        <v>57</v>
      </c>
      <c r="B59" s="7" t="s">
        <v>63</v>
      </c>
      <c r="C59" s="7" t="str">
        <f t="shared" si="10"/>
        <v>08</v>
      </c>
      <c r="D59" s="7" t="str">
        <f>"09"</f>
        <v>09</v>
      </c>
      <c r="E59" s="7" t="str">
        <f>"20210040809"</f>
        <v>20210040809</v>
      </c>
      <c r="F59" s="7" t="s">
        <v>72</v>
      </c>
      <c r="G59" s="7">
        <v>61</v>
      </c>
      <c r="H59" s="7">
        <v>78</v>
      </c>
      <c r="I59" s="8">
        <f t="shared" si="0"/>
        <v>66.1</v>
      </c>
      <c r="J59" s="7">
        <v>80.6</v>
      </c>
      <c r="K59" s="7">
        <f t="shared" si="1"/>
        <v>71.9</v>
      </c>
    </row>
    <row r="60" ht="14.25" spans="1:11">
      <c r="A60" s="7">
        <v>58</v>
      </c>
      <c r="B60" s="7" t="s">
        <v>63</v>
      </c>
      <c r="C60" s="7" t="str">
        <f>"10"</f>
        <v>10</v>
      </c>
      <c r="D60" s="7" t="str">
        <f>"01"</f>
        <v>01</v>
      </c>
      <c r="E60" s="7" t="str">
        <f>"20210041001"</f>
        <v>20210041001</v>
      </c>
      <c r="F60" s="7" t="s">
        <v>73</v>
      </c>
      <c r="G60" s="7">
        <v>73</v>
      </c>
      <c r="H60" s="7">
        <v>66</v>
      </c>
      <c r="I60" s="8">
        <f t="shared" si="0"/>
        <v>70.9</v>
      </c>
      <c r="J60" s="7">
        <v>72.2</v>
      </c>
      <c r="K60" s="7">
        <f t="shared" si="1"/>
        <v>71.42</v>
      </c>
    </row>
    <row r="61" ht="14.25" spans="1:11">
      <c r="A61" s="7">
        <v>59</v>
      </c>
      <c r="B61" s="7" t="s">
        <v>63</v>
      </c>
      <c r="C61" s="7" t="str">
        <f>"10"</f>
        <v>10</v>
      </c>
      <c r="D61" s="7" t="str">
        <f>"04"</f>
        <v>04</v>
      </c>
      <c r="E61" s="7" t="str">
        <f>"20210041004"</f>
        <v>20210041004</v>
      </c>
      <c r="F61" s="7" t="s">
        <v>74</v>
      </c>
      <c r="G61" s="7">
        <v>67</v>
      </c>
      <c r="H61" s="7">
        <v>63</v>
      </c>
      <c r="I61" s="8">
        <f t="shared" si="0"/>
        <v>65.8</v>
      </c>
      <c r="J61" s="7">
        <v>79.6</v>
      </c>
      <c r="K61" s="7">
        <f t="shared" si="1"/>
        <v>71.32</v>
      </c>
    </row>
    <row r="62" ht="14.25" spans="1:11">
      <c r="A62" s="7">
        <v>60</v>
      </c>
      <c r="B62" s="7" t="s">
        <v>63</v>
      </c>
      <c r="C62" s="7" t="str">
        <f t="shared" ref="C62:C66" si="11">"09"</f>
        <v>09</v>
      </c>
      <c r="D62" s="7" t="str">
        <f>"01"</f>
        <v>01</v>
      </c>
      <c r="E62" s="7" t="str">
        <f>"20210040901"</f>
        <v>20210040901</v>
      </c>
      <c r="F62" s="7" t="s">
        <v>75</v>
      </c>
      <c r="G62" s="7">
        <v>62</v>
      </c>
      <c r="H62" s="7">
        <v>80</v>
      </c>
      <c r="I62" s="8">
        <f t="shared" si="0"/>
        <v>67.4</v>
      </c>
      <c r="J62" s="7">
        <v>76.2</v>
      </c>
      <c r="K62" s="7">
        <f t="shared" si="1"/>
        <v>70.92</v>
      </c>
    </row>
    <row r="63" ht="14.25" spans="1:11">
      <c r="A63" s="7">
        <v>61</v>
      </c>
      <c r="B63" s="7" t="s">
        <v>63</v>
      </c>
      <c r="C63" s="7" t="str">
        <f>"08"</f>
        <v>08</v>
      </c>
      <c r="D63" s="7" t="str">
        <f>"17"</f>
        <v>17</v>
      </c>
      <c r="E63" s="7" t="str">
        <f>"20210040817"</f>
        <v>20210040817</v>
      </c>
      <c r="F63" s="7" t="s">
        <v>76</v>
      </c>
      <c r="G63" s="7">
        <v>58</v>
      </c>
      <c r="H63" s="7">
        <v>89</v>
      </c>
      <c r="I63" s="8">
        <f t="shared" si="0"/>
        <v>67.3</v>
      </c>
      <c r="J63" s="7">
        <v>75.2</v>
      </c>
      <c r="K63" s="7">
        <f t="shared" si="1"/>
        <v>70.46</v>
      </c>
    </row>
    <row r="64" ht="14.25" spans="1:11">
      <c r="A64" s="7">
        <v>62</v>
      </c>
      <c r="B64" s="7" t="s">
        <v>63</v>
      </c>
      <c r="C64" s="7" t="str">
        <f t="shared" si="11"/>
        <v>09</v>
      </c>
      <c r="D64" s="7" t="str">
        <f>"19"</f>
        <v>19</v>
      </c>
      <c r="E64" s="7" t="str">
        <f>"20210040919"</f>
        <v>20210040919</v>
      </c>
      <c r="F64" s="7" t="s">
        <v>77</v>
      </c>
      <c r="G64" s="7">
        <v>67</v>
      </c>
      <c r="H64" s="7">
        <v>78</v>
      </c>
      <c r="I64" s="8">
        <f t="shared" si="0"/>
        <v>70.3</v>
      </c>
      <c r="J64" s="7">
        <v>69.4</v>
      </c>
      <c r="K64" s="7">
        <f t="shared" si="1"/>
        <v>69.94</v>
      </c>
    </row>
    <row r="65" ht="14.25" spans="1:11">
      <c r="A65" s="7">
        <v>63</v>
      </c>
      <c r="B65" s="7" t="s">
        <v>63</v>
      </c>
      <c r="C65" s="7" t="str">
        <f>"08"</f>
        <v>08</v>
      </c>
      <c r="D65" s="7" t="str">
        <f>"15"</f>
        <v>15</v>
      </c>
      <c r="E65" s="7" t="str">
        <f>"20210040815"</f>
        <v>20210040815</v>
      </c>
      <c r="F65" s="7" t="s">
        <v>78</v>
      </c>
      <c r="G65" s="7">
        <v>56</v>
      </c>
      <c r="H65" s="7">
        <v>79</v>
      </c>
      <c r="I65" s="8">
        <f t="shared" si="0"/>
        <v>62.9</v>
      </c>
      <c r="J65" s="7">
        <v>79.4</v>
      </c>
      <c r="K65" s="7">
        <f t="shared" si="1"/>
        <v>69.5</v>
      </c>
    </row>
    <row r="66" ht="14.25" spans="1:11">
      <c r="A66" s="7">
        <v>64</v>
      </c>
      <c r="B66" s="7" t="s">
        <v>63</v>
      </c>
      <c r="C66" s="7" t="str">
        <f t="shared" si="11"/>
        <v>09</v>
      </c>
      <c r="D66" s="7" t="str">
        <f>"29"</f>
        <v>29</v>
      </c>
      <c r="E66" s="7" t="str">
        <f>"20210040929"</f>
        <v>20210040929</v>
      </c>
      <c r="F66" s="7" t="s">
        <v>79</v>
      </c>
      <c r="G66" s="7">
        <v>70</v>
      </c>
      <c r="H66" s="7">
        <v>78</v>
      </c>
      <c r="I66" s="8">
        <f t="shared" si="0"/>
        <v>72.4</v>
      </c>
      <c r="J66" s="7">
        <v>65</v>
      </c>
      <c r="K66" s="7">
        <f t="shared" si="1"/>
        <v>69.44</v>
      </c>
    </row>
    <row r="67" ht="14.25" spans="1:11">
      <c r="A67" s="7">
        <v>65</v>
      </c>
      <c r="B67" s="7" t="s">
        <v>80</v>
      </c>
      <c r="C67" s="7" t="str">
        <f>"10"</f>
        <v>10</v>
      </c>
      <c r="D67" s="7" t="str">
        <f>"12"</f>
        <v>12</v>
      </c>
      <c r="E67" s="7" t="str">
        <f>"20210051012"</f>
        <v>20210051012</v>
      </c>
      <c r="F67" s="7" t="s">
        <v>81</v>
      </c>
      <c r="G67" s="7">
        <v>69</v>
      </c>
      <c r="H67" s="7">
        <v>78</v>
      </c>
      <c r="I67" s="8">
        <f t="shared" ref="I67:I130" si="12">G67*0.7+H67*0.3</f>
        <v>71.7</v>
      </c>
      <c r="J67" s="7">
        <v>87.4</v>
      </c>
      <c r="K67" s="7">
        <f t="shared" ref="K67:K130" si="13">I67*0.6+J67*0.4</f>
        <v>77.98</v>
      </c>
    </row>
    <row r="68" ht="14.25" spans="1:11">
      <c r="A68" s="7">
        <v>66</v>
      </c>
      <c r="B68" s="7" t="s">
        <v>80</v>
      </c>
      <c r="C68" s="7" t="str">
        <f>"10"</f>
        <v>10</v>
      </c>
      <c r="D68" s="7" t="str">
        <f>"17"</f>
        <v>17</v>
      </c>
      <c r="E68" s="7" t="str">
        <f>"20210051017"</f>
        <v>20210051017</v>
      </c>
      <c r="F68" s="7" t="s">
        <v>82</v>
      </c>
      <c r="G68" s="7">
        <v>72</v>
      </c>
      <c r="H68" s="7">
        <v>94</v>
      </c>
      <c r="I68" s="8">
        <f t="shared" si="12"/>
        <v>78.6</v>
      </c>
      <c r="J68" s="7">
        <v>74.4</v>
      </c>
      <c r="K68" s="7">
        <f t="shared" si="13"/>
        <v>76.92</v>
      </c>
    </row>
    <row r="69" ht="14.25" spans="1:11">
      <c r="A69" s="7">
        <v>67</v>
      </c>
      <c r="B69" s="7" t="s">
        <v>80</v>
      </c>
      <c r="C69" s="7" t="str">
        <f>"11"</f>
        <v>11</v>
      </c>
      <c r="D69" s="7" t="str">
        <f>"01"</f>
        <v>01</v>
      </c>
      <c r="E69" s="7" t="str">
        <f>"20210051101"</f>
        <v>20210051101</v>
      </c>
      <c r="F69" s="7" t="s">
        <v>83</v>
      </c>
      <c r="G69" s="7">
        <v>66.5</v>
      </c>
      <c r="H69" s="7">
        <v>81</v>
      </c>
      <c r="I69" s="8">
        <f t="shared" si="12"/>
        <v>70.85</v>
      </c>
      <c r="J69" s="7">
        <v>82.8</v>
      </c>
      <c r="K69" s="7">
        <f t="shared" si="13"/>
        <v>75.63</v>
      </c>
    </row>
    <row r="70" ht="14.25" spans="1:11">
      <c r="A70" s="7">
        <v>68</v>
      </c>
      <c r="B70" s="7" t="s">
        <v>80</v>
      </c>
      <c r="C70" s="7" t="str">
        <f t="shared" ref="C70:C72" si="14">"12"</f>
        <v>12</v>
      </c>
      <c r="D70" s="7" t="str">
        <f>"06"</f>
        <v>06</v>
      </c>
      <c r="E70" s="7" t="str">
        <f>"20210051206"</f>
        <v>20210051206</v>
      </c>
      <c r="F70" s="7" t="s">
        <v>84</v>
      </c>
      <c r="G70" s="7">
        <v>64</v>
      </c>
      <c r="H70" s="7">
        <v>83</v>
      </c>
      <c r="I70" s="8">
        <f t="shared" si="12"/>
        <v>69.7</v>
      </c>
      <c r="J70" s="7">
        <v>84.4</v>
      </c>
      <c r="K70" s="7">
        <f t="shared" si="13"/>
        <v>75.58</v>
      </c>
    </row>
    <row r="71" ht="14.25" spans="1:11">
      <c r="A71" s="7">
        <v>69</v>
      </c>
      <c r="B71" s="7" t="s">
        <v>80</v>
      </c>
      <c r="C71" s="7" t="str">
        <f t="shared" si="14"/>
        <v>12</v>
      </c>
      <c r="D71" s="7" t="str">
        <f>"02"</f>
        <v>02</v>
      </c>
      <c r="E71" s="7" t="str">
        <f>"20210051202"</f>
        <v>20210051202</v>
      </c>
      <c r="F71" s="7" t="s">
        <v>85</v>
      </c>
      <c r="G71" s="7">
        <v>65</v>
      </c>
      <c r="H71" s="7">
        <v>84</v>
      </c>
      <c r="I71" s="8">
        <f t="shared" si="12"/>
        <v>70.7</v>
      </c>
      <c r="J71" s="7">
        <v>82.8</v>
      </c>
      <c r="K71" s="7">
        <f t="shared" si="13"/>
        <v>75.54</v>
      </c>
    </row>
    <row r="72" ht="14.25" spans="1:11">
      <c r="A72" s="7">
        <v>70</v>
      </c>
      <c r="B72" s="7" t="s">
        <v>80</v>
      </c>
      <c r="C72" s="7" t="str">
        <f t="shared" si="14"/>
        <v>12</v>
      </c>
      <c r="D72" s="7" t="str">
        <f>"05"</f>
        <v>05</v>
      </c>
      <c r="E72" s="7" t="str">
        <f>"20210051205"</f>
        <v>20210051205</v>
      </c>
      <c r="F72" s="7" t="s">
        <v>86</v>
      </c>
      <c r="G72" s="7">
        <v>70</v>
      </c>
      <c r="H72" s="7">
        <v>77</v>
      </c>
      <c r="I72" s="8">
        <f t="shared" si="12"/>
        <v>72.1</v>
      </c>
      <c r="J72" s="7">
        <v>78</v>
      </c>
      <c r="K72" s="7">
        <f t="shared" si="13"/>
        <v>74.46</v>
      </c>
    </row>
    <row r="73" ht="14.25" spans="1:11">
      <c r="A73" s="7">
        <v>71</v>
      </c>
      <c r="B73" s="7" t="s">
        <v>80</v>
      </c>
      <c r="C73" s="7" t="str">
        <f t="shared" ref="C73:C79" si="15">"11"</f>
        <v>11</v>
      </c>
      <c r="D73" s="7" t="str">
        <f>"07"</f>
        <v>07</v>
      </c>
      <c r="E73" s="7" t="str">
        <f>"20210051107"</f>
        <v>20210051107</v>
      </c>
      <c r="F73" s="7" t="s">
        <v>87</v>
      </c>
      <c r="G73" s="7">
        <v>71.5</v>
      </c>
      <c r="H73" s="7">
        <v>80</v>
      </c>
      <c r="I73" s="8">
        <f t="shared" si="12"/>
        <v>74.05</v>
      </c>
      <c r="J73" s="7">
        <v>74.8</v>
      </c>
      <c r="K73" s="7">
        <f t="shared" si="13"/>
        <v>74.35</v>
      </c>
    </row>
    <row r="74" ht="14.25" spans="1:11">
      <c r="A74" s="7">
        <v>72</v>
      </c>
      <c r="B74" s="7" t="s">
        <v>80</v>
      </c>
      <c r="C74" s="7" t="str">
        <f>"12"</f>
        <v>12</v>
      </c>
      <c r="D74" s="7" t="str">
        <f>"15"</f>
        <v>15</v>
      </c>
      <c r="E74" s="7" t="str">
        <f>"20210051215"</f>
        <v>20210051215</v>
      </c>
      <c r="F74" s="7" t="s">
        <v>88</v>
      </c>
      <c r="G74" s="7">
        <v>65</v>
      </c>
      <c r="H74" s="7">
        <v>83</v>
      </c>
      <c r="I74" s="8">
        <f t="shared" si="12"/>
        <v>70.4</v>
      </c>
      <c r="J74" s="7">
        <v>79.8</v>
      </c>
      <c r="K74" s="7">
        <f t="shared" si="13"/>
        <v>74.16</v>
      </c>
    </row>
    <row r="75" ht="14.25" spans="1:11">
      <c r="A75" s="7">
        <v>73</v>
      </c>
      <c r="B75" s="7" t="s">
        <v>80</v>
      </c>
      <c r="C75" s="7" t="str">
        <f t="shared" si="15"/>
        <v>11</v>
      </c>
      <c r="D75" s="7" t="str">
        <f>"20"</f>
        <v>20</v>
      </c>
      <c r="E75" s="7" t="str">
        <f>"20210051120"</f>
        <v>20210051120</v>
      </c>
      <c r="F75" s="7" t="s">
        <v>89</v>
      </c>
      <c r="G75" s="7">
        <v>68.5</v>
      </c>
      <c r="H75" s="7">
        <v>73</v>
      </c>
      <c r="I75" s="8">
        <f t="shared" si="12"/>
        <v>69.85</v>
      </c>
      <c r="J75" s="7">
        <v>80.6</v>
      </c>
      <c r="K75" s="7">
        <f t="shared" si="13"/>
        <v>74.15</v>
      </c>
    </row>
    <row r="76" ht="14.25" spans="1:11">
      <c r="A76" s="7">
        <v>74</v>
      </c>
      <c r="B76" s="7" t="s">
        <v>80</v>
      </c>
      <c r="C76" s="7" t="str">
        <f>"10"</f>
        <v>10</v>
      </c>
      <c r="D76" s="7" t="str">
        <f>"13"</f>
        <v>13</v>
      </c>
      <c r="E76" s="7" t="str">
        <f>"20210051013"</f>
        <v>20210051013</v>
      </c>
      <c r="F76" s="7" t="s">
        <v>90</v>
      </c>
      <c r="G76" s="7">
        <v>75</v>
      </c>
      <c r="H76" s="7">
        <v>54</v>
      </c>
      <c r="I76" s="8">
        <f t="shared" si="12"/>
        <v>68.7</v>
      </c>
      <c r="J76" s="7">
        <v>82</v>
      </c>
      <c r="K76" s="7">
        <f t="shared" si="13"/>
        <v>74.02</v>
      </c>
    </row>
    <row r="77" ht="14.25" spans="1:11">
      <c r="A77" s="7">
        <v>75</v>
      </c>
      <c r="B77" s="7" t="s">
        <v>80</v>
      </c>
      <c r="C77" s="7" t="str">
        <f>"12"</f>
        <v>12</v>
      </c>
      <c r="D77" s="7" t="str">
        <f>"03"</f>
        <v>03</v>
      </c>
      <c r="E77" s="7" t="str">
        <f>"20210051203"</f>
        <v>20210051203</v>
      </c>
      <c r="F77" s="7" t="s">
        <v>91</v>
      </c>
      <c r="G77" s="7">
        <v>67</v>
      </c>
      <c r="H77" s="7">
        <v>81</v>
      </c>
      <c r="I77" s="8">
        <f t="shared" si="12"/>
        <v>71.2</v>
      </c>
      <c r="J77" s="7">
        <v>78.2</v>
      </c>
      <c r="K77" s="7">
        <f t="shared" si="13"/>
        <v>74</v>
      </c>
    </row>
    <row r="78" ht="14.25" spans="1:11">
      <c r="A78" s="7">
        <v>76</v>
      </c>
      <c r="B78" s="7" t="s">
        <v>80</v>
      </c>
      <c r="C78" s="7" t="str">
        <f t="shared" si="15"/>
        <v>11</v>
      </c>
      <c r="D78" s="7" t="str">
        <f>"28"</f>
        <v>28</v>
      </c>
      <c r="E78" s="7" t="str">
        <f>"20210051128"</f>
        <v>20210051128</v>
      </c>
      <c r="F78" s="7" t="s">
        <v>92</v>
      </c>
      <c r="G78" s="7">
        <v>61</v>
      </c>
      <c r="H78" s="7">
        <v>80</v>
      </c>
      <c r="I78" s="8">
        <f t="shared" si="12"/>
        <v>66.7</v>
      </c>
      <c r="J78" s="7">
        <v>83.8</v>
      </c>
      <c r="K78" s="7">
        <f t="shared" si="13"/>
        <v>73.54</v>
      </c>
    </row>
    <row r="79" ht="14.25" spans="1:11">
      <c r="A79" s="7">
        <v>77</v>
      </c>
      <c r="B79" s="7" t="s">
        <v>80</v>
      </c>
      <c r="C79" s="7" t="str">
        <f t="shared" si="15"/>
        <v>11</v>
      </c>
      <c r="D79" s="7" t="str">
        <f>"04"</f>
        <v>04</v>
      </c>
      <c r="E79" s="7" t="str">
        <f>"20210051104"</f>
        <v>20210051104</v>
      </c>
      <c r="F79" s="7" t="s">
        <v>93</v>
      </c>
      <c r="G79" s="7">
        <v>69</v>
      </c>
      <c r="H79" s="7">
        <v>68</v>
      </c>
      <c r="I79" s="8">
        <f t="shared" si="12"/>
        <v>68.7</v>
      </c>
      <c r="J79" s="7">
        <v>80.4</v>
      </c>
      <c r="K79" s="7">
        <f t="shared" si="13"/>
        <v>73.38</v>
      </c>
    </row>
    <row r="80" ht="14.25" spans="1:11">
      <c r="A80" s="7">
        <v>78</v>
      </c>
      <c r="B80" s="7" t="s">
        <v>80</v>
      </c>
      <c r="C80" s="7" t="str">
        <f>"12"</f>
        <v>12</v>
      </c>
      <c r="D80" s="7" t="str">
        <f>"07"</f>
        <v>07</v>
      </c>
      <c r="E80" s="7" t="str">
        <f>"20210051207"</f>
        <v>20210051207</v>
      </c>
      <c r="F80" s="7" t="s">
        <v>94</v>
      </c>
      <c r="G80" s="7">
        <v>74</v>
      </c>
      <c r="H80" s="7">
        <v>84</v>
      </c>
      <c r="I80" s="8">
        <f t="shared" si="12"/>
        <v>77</v>
      </c>
      <c r="J80" s="7">
        <v>67.6</v>
      </c>
      <c r="K80" s="7">
        <f t="shared" si="13"/>
        <v>73.24</v>
      </c>
    </row>
    <row r="81" ht="14.25" spans="1:11">
      <c r="A81" s="7">
        <v>79</v>
      </c>
      <c r="B81" s="7" t="s">
        <v>80</v>
      </c>
      <c r="C81" s="7" t="str">
        <f>"10"</f>
        <v>10</v>
      </c>
      <c r="D81" s="7" t="str">
        <f>"27"</f>
        <v>27</v>
      </c>
      <c r="E81" s="7" t="str">
        <f>"20210051027"</f>
        <v>20210051027</v>
      </c>
      <c r="F81" s="7" t="s">
        <v>95</v>
      </c>
      <c r="G81" s="7">
        <v>62</v>
      </c>
      <c r="H81" s="7">
        <v>84</v>
      </c>
      <c r="I81" s="8">
        <f t="shared" si="12"/>
        <v>68.6</v>
      </c>
      <c r="J81" s="7">
        <v>79.4</v>
      </c>
      <c r="K81" s="7">
        <f t="shared" si="13"/>
        <v>72.92</v>
      </c>
    </row>
    <row r="82" ht="14.25" spans="1:11">
      <c r="A82" s="7">
        <v>80</v>
      </c>
      <c r="B82" s="7" t="s">
        <v>80</v>
      </c>
      <c r="C82" s="7" t="str">
        <f>"10"</f>
        <v>10</v>
      </c>
      <c r="D82" s="7" t="str">
        <f>"18"</f>
        <v>18</v>
      </c>
      <c r="E82" s="7" t="str">
        <f>"20210051018"</f>
        <v>20210051018</v>
      </c>
      <c r="F82" s="7" t="s">
        <v>96</v>
      </c>
      <c r="G82" s="7">
        <v>65</v>
      </c>
      <c r="H82" s="7">
        <v>76</v>
      </c>
      <c r="I82" s="8">
        <f t="shared" si="12"/>
        <v>68.3</v>
      </c>
      <c r="J82" s="7">
        <v>79.4</v>
      </c>
      <c r="K82" s="7">
        <f t="shared" si="13"/>
        <v>72.74</v>
      </c>
    </row>
    <row r="83" ht="14.25" spans="1:11">
      <c r="A83" s="7">
        <v>81</v>
      </c>
      <c r="B83" s="7" t="s">
        <v>97</v>
      </c>
      <c r="C83" s="7" t="str">
        <f>"13"</f>
        <v>13</v>
      </c>
      <c r="D83" s="7" t="str">
        <f>"17"</f>
        <v>17</v>
      </c>
      <c r="E83" s="7" t="str">
        <f>"20210061317"</f>
        <v>20210061317</v>
      </c>
      <c r="F83" s="7" t="s">
        <v>98</v>
      </c>
      <c r="G83" s="7">
        <v>76.5</v>
      </c>
      <c r="H83" s="7">
        <v>87</v>
      </c>
      <c r="I83" s="8">
        <f t="shared" si="12"/>
        <v>79.65</v>
      </c>
      <c r="J83" s="7">
        <v>85.2</v>
      </c>
      <c r="K83" s="7">
        <f t="shared" si="13"/>
        <v>81.87</v>
      </c>
    </row>
    <row r="84" ht="14.25" spans="1:11">
      <c r="A84" s="7">
        <v>82</v>
      </c>
      <c r="B84" s="7" t="s">
        <v>97</v>
      </c>
      <c r="C84" s="7" t="str">
        <f>"15"</f>
        <v>15</v>
      </c>
      <c r="D84" s="7" t="str">
        <f>"01"</f>
        <v>01</v>
      </c>
      <c r="E84" s="7" t="str">
        <f>"20210061501"</f>
        <v>20210061501</v>
      </c>
      <c r="F84" s="7" t="s">
        <v>99</v>
      </c>
      <c r="G84" s="7">
        <v>76</v>
      </c>
      <c r="H84" s="7">
        <v>81</v>
      </c>
      <c r="I84" s="8">
        <f t="shared" si="12"/>
        <v>77.5</v>
      </c>
      <c r="J84" s="7">
        <v>86.7</v>
      </c>
      <c r="K84" s="7">
        <f t="shared" si="13"/>
        <v>81.18</v>
      </c>
    </row>
    <row r="85" ht="14.25" spans="1:11">
      <c r="A85" s="7">
        <v>83</v>
      </c>
      <c r="B85" s="7" t="s">
        <v>97</v>
      </c>
      <c r="C85" s="7" t="str">
        <f t="shared" ref="C85:C87" si="16">"14"</f>
        <v>14</v>
      </c>
      <c r="D85" s="7" t="str">
        <f>"18"</f>
        <v>18</v>
      </c>
      <c r="E85" s="7" t="str">
        <f>"20210061418"</f>
        <v>20210061418</v>
      </c>
      <c r="F85" s="7" t="s">
        <v>100</v>
      </c>
      <c r="G85" s="7">
        <v>74</v>
      </c>
      <c r="H85" s="7">
        <v>83</v>
      </c>
      <c r="I85" s="8">
        <f t="shared" si="12"/>
        <v>76.7</v>
      </c>
      <c r="J85" s="7">
        <v>85.7</v>
      </c>
      <c r="K85" s="7">
        <f t="shared" si="13"/>
        <v>80.3</v>
      </c>
    </row>
    <row r="86" ht="14.25" spans="1:11">
      <c r="A86" s="7">
        <v>84</v>
      </c>
      <c r="B86" s="7" t="s">
        <v>97</v>
      </c>
      <c r="C86" s="7" t="str">
        <f t="shared" si="16"/>
        <v>14</v>
      </c>
      <c r="D86" s="7" t="str">
        <f>"16"</f>
        <v>16</v>
      </c>
      <c r="E86" s="7" t="str">
        <f>"20210061416"</f>
        <v>20210061416</v>
      </c>
      <c r="F86" s="7" t="s">
        <v>101</v>
      </c>
      <c r="G86" s="7">
        <v>77</v>
      </c>
      <c r="H86" s="7">
        <v>80</v>
      </c>
      <c r="I86" s="8">
        <f t="shared" si="12"/>
        <v>77.9</v>
      </c>
      <c r="J86" s="7">
        <v>83.2</v>
      </c>
      <c r="K86" s="7">
        <f t="shared" si="13"/>
        <v>80.02</v>
      </c>
    </row>
    <row r="87" ht="14.25" spans="1:11">
      <c r="A87" s="7">
        <v>85</v>
      </c>
      <c r="B87" s="7" t="s">
        <v>97</v>
      </c>
      <c r="C87" s="7" t="str">
        <f t="shared" si="16"/>
        <v>14</v>
      </c>
      <c r="D87" s="7" t="str">
        <f>"11"</f>
        <v>11</v>
      </c>
      <c r="E87" s="7" t="str">
        <f>"20210061411"</f>
        <v>20210061411</v>
      </c>
      <c r="F87" s="7" t="s">
        <v>102</v>
      </c>
      <c r="G87" s="7">
        <v>80</v>
      </c>
      <c r="H87" s="7">
        <v>80</v>
      </c>
      <c r="I87" s="8">
        <f t="shared" si="12"/>
        <v>80</v>
      </c>
      <c r="J87" s="7">
        <v>75.1</v>
      </c>
      <c r="K87" s="7">
        <f t="shared" si="13"/>
        <v>78.04</v>
      </c>
    </row>
    <row r="88" ht="14.25" spans="1:11">
      <c r="A88" s="7">
        <v>86</v>
      </c>
      <c r="B88" s="7" t="s">
        <v>97</v>
      </c>
      <c r="C88" s="7" t="str">
        <f>"13"</f>
        <v>13</v>
      </c>
      <c r="D88" s="7" t="str">
        <f>"02"</f>
        <v>02</v>
      </c>
      <c r="E88" s="7" t="str">
        <f>"20210061302"</f>
        <v>20210061302</v>
      </c>
      <c r="F88" s="7" t="s">
        <v>103</v>
      </c>
      <c r="G88" s="7">
        <v>73</v>
      </c>
      <c r="H88" s="7">
        <v>82</v>
      </c>
      <c r="I88" s="8">
        <f t="shared" si="12"/>
        <v>75.7</v>
      </c>
      <c r="J88" s="7">
        <v>81</v>
      </c>
      <c r="K88" s="7">
        <f t="shared" si="13"/>
        <v>77.82</v>
      </c>
    </row>
    <row r="89" ht="14.25" spans="1:11">
      <c r="A89" s="7">
        <v>87</v>
      </c>
      <c r="B89" s="7" t="s">
        <v>97</v>
      </c>
      <c r="C89" s="7" t="str">
        <f t="shared" ref="C89:C94" si="17">"14"</f>
        <v>14</v>
      </c>
      <c r="D89" s="7" t="str">
        <f>"14"</f>
        <v>14</v>
      </c>
      <c r="E89" s="7" t="str">
        <f>"20210061414"</f>
        <v>20210061414</v>
      </c>
      <c r="F89" s="7" t="s">
        <v>104</v>
      </c>
      <c r="G89" s="7">
        <v>66</v>
      </c>
      <c r="H89" s="7">
        <v>92</v>
      </c>
      <c r="I89" s="8">
        <f t="shared" si="12"/>
        <v>73.8</v>
      </c>
      <c r="J89" s="7">
        <v>82</v>
      </c>
      <c r="K89" s="7">
        <f t="shared" si="13"/>
        <v>77.08</v>
      </c>
    </row>
    <row r="90" ht="14.25" spans="1:11">
      <c r="A90" s="7">
        <v>88</v>
      </c>
      <c r="B90" s="7" t="s">
        <v>97</v>
      </c>
      <c r="C90" s="7" t="str">
        <f>"13"</f>
        <v>13</v>
      </c>
      <c r="D90" s="7" t="str">
        <f>"09"</f>
        <v>09</v>
      </c>
      <c r="E90" s="7" t="str">
        <f>"20210061309"</f>
        <v>20210061309</v>
      </c>
      <c r="F90" s="7" t="s">
        <v>105</v>
      </c>
      <c r="G90" s="7">
        <v>69</v>
      </c>
      <c r="H90" s="7">
        <v>76</v>
      </c>
      <c r="I90" s="8">
        <f t="shared" si="12"/>
        <v>71.1</v>
      </c>
      <c r="J90" s="7">
        <v>85.6</v>
      </c>
      <c r="K90" s="7">
        <f t="shared" si="13"/>
        <v>76.9</v>
      </c>
    </row>
    <row r="91" ht="14.25" spans="1:11">
      <c r="A91" s="7">
        <v>89</v>
      </c>
      <c r="B91" s="7" t="s">
        <v>97</v>
      </c>
      <c r="C91" s="7" t="str">
        <f t="shared" si="17"/>
        <v>14</v>
      </c>
      <c r="D91" s="7" t="str">
        <f>"09"</f>
        <v>09</v>
      </c>
      <c r="E91" s="7" t="str">
        <f>"20210061409"</f>
        <v>20210061409</v>
      </c>
      <c r="F91" s="7" t="s">
        <v>106</v>
      </c>
      <c r="G91" s="7">
        <v>71</v>
      </c>
      <c r="H91" s="7">
        <v>74</v>
      </c>
      <c r="I91" s="8">
        <f t="shared" si="12"/>
        <v>71.9</v>
      </c>
      <c r="J91" s="7">
        <v>82.3</v>
      </c>
      <c r="K91" s="7">
        <f t="shared" si="13"/>
        <v>76.06</v>
      </c>
    </row>
    <row r="92" ht="14.25" spans="1:11">
      <c r="A92" s="7">
        <v>90</v>
      </c>
      <c r="B92" s="7" t="s">
        <v>97</v>
      </c>
      <c r="C92" s="7" t="str">
        <f t="shared" si="17"/>
        <v>14</v>
      </c>
      <c r="D92" s="7" t="str">
        <f>"08"</f>
        <v>08</v>
      </c>
      <c r="E92" s="7" t="str">
        <f>"20210061408"</f>
        <v>20210061408</v>
      </c>
      <c r="F92" s="7" t="s">
        <v>107</v>
      </c>
      <c r="G92" s="7">
        <v>77</v>
      </c>
      <c r="H92" s="7">
        <v>83</v>
      </c>
      <c r="I92" s="8">
        <f t="shared" si="12"/>
        <v>78.8</v>
      </c>
      <c r="J92" s="7">
        <v>71.8</v>
      </c>
      <c r="K92" s="7">
        <f t="shared" si="13"/>
        <v>76</v>
      </c>
    </row>
    <row r="93" ht="14.25" spans="1:11">
      <c r="A93" s="7">
        <v>91</v>
      </c>
      <c r="B93" s="7" t="s">
        <v>97</v>
      </c>
      <c r="C93" s="7" t="str">
        <f t="shared" si="17"/>
        <v>14</v>
      </c>
      <c r="D93" s="7" t="str">
        <f>"07"</f>
        <v>07</v>
      </c>
      <c r="E93" s="7" t="str">
        <f>"20210061407"</f>
        <v>20210061407</v>
      </c>
      <c r="F93" s="7" t="s">
        <v>108</v>
      </c>
      <c r="G93" s="7">
        <v>66</v>
      </c>
      <c r="H93" s="7">
        <v>82</v>
      </c>
      <c r="I93" s="8">
        <f t="shared" si="12"/>
        <v>70.8</v>
      </c>
      <c r="J93" s="7">
        <v>82.8</v>
      </c>
      <c r="K93" s="7">
        <f t="shared" si="13"/>
        <v>75.6</v>
      </c>
    </row>
    <row r="94" ht="14.25" spans="1:11">
      <c r="A94" s="7">
        <v>92</v>
      </c>
      <c r="B94" s="7" t="s">
        <v>97</v>
      </c>
      <c r="C94" s="7" t="str">
        <f t="shared" si="17"/>
        <v>14</v>
      </c>
      <c r="D94" s="7" t="str">
        <f>"17"</f>
        <v>17</v>
      </c>
      <c r="E94" s="7" t="str">
        <f>"20210061417"</f>
        <v>20210061417</v>
      </c>
      <c r="F94" s="7" t="s">
        <v>109</v>
      </c>
      <c r="G94" s="7">
        <v>72</v>
      </c>
      <c r="H94" s="7">
        <v>81</v>
      </c>
      <c r="I94" s="8">
        <f t="shared" si="12"/>
        <v>74.7</v>
      </c>
      <c r="J94" s="7">
        <v>75.9</v>
      </c>
      <c r="K94" s="7">
        <f t="shared" si="13"/>
        <v>75.18</v>
      </c>
    </row>
    <row r="95" ht="14.25" spans="1:11">
      <c r="A95" s="7">
        <v>93</v>
      </c>
      <c r="B95" s="7" t="s">
        <v>97</v>
      </c>
      <c r="C95" s="7" t="str">
        <f>"13"</f>
        <v>13</v>
      </c>
      <c r="D95" s="7" t="str">
        <f>"25"</f>
        <v>25</v>
      </c>
      <c r="E95" s="7" t="str">
        <f>"20210061325"</f>
        <v>20210061325</v>
      </c>
      <c r="F95" s="7" t="s">
        <v>110</v>
      </c>
      <c r="G95" s="7">
        <v>69.5</v>
      </c>
      <c r="H95" s="7">
        <v>75</v>
      </c>
      <c r="I95" s="8">
        <f t="shared" si="12"/>
        <v>71.15</v>
      </c>
      <c r="J95" s="7">
        <v>80.6</v>
      </c>
      <c r="K95" s="7">
        <f t="shared" si="13"/>
        <v>74.93</v>
      </c>
    </row>
    <row r="96" ht="14.25" spans="1:11">
      <c r="A96" s="7">
        <v>94</v>
      </c>
      <c r="B96" s="7" t="s">
        <v>97</v>
      </c>
      <c r="C96" s="7" t="str">
        <f>"12"</f>
        <v>12</v>
      </c>
      <c r="D96" s="7" t="str">
        <f>"21"</f>
        <v>21</v>
      </c>
      <c r="E96" s="7" t="str">
        <f>"20210061221"</f>
        <v>20210061221</v>
      </c>
      <c r="F96" s="7" t="s">
        <v>111</v>
      </c>
      <c r="G96" s="7">
        <v>72</v>
      </c>
      <c r="H96" s="7">
        <v>78</v>
      </c>
      <c r="I96" s="8">
        <f t="shared" si="12"/>
        <v>73.8</v>
      </c>
      <c r="J96" s="7">
        <v>76.5</v>
      </c>
      <c r="K96" s="7">
        <f t="shared" si="13"/>
        <v>74.88</v>
      </c>
    </row>
    <row r="97" ht="14.25" spans="1:11">
      <c r="A97" s="7">
        <v>95</v>
      </c>
      <c r="B97" s="7" t="s">
        <v>97</v>
      </c>
      <c r="C97" s="7" t="str">
        <f>"14"</f>
        <v>14</v>
      </c>
      <c r="D97" s="7" t="str">
        <f>"02"</f>
        <v>02</v>
      </c>
      <c r="E97" s="7" t="str">
        <f>"20210061402"</f>
        <v>20210061402</v>
      </c>
      <c r="F97" s="7" t="s">
        <v>112</v>
      </c>
      <c r="G97" s="7">
        <v>70</v>
      </c>
      <c r="H97" s="7">
        <v>73</v>
      </c>
      <c r="I97" s="8">
        <f t="shared" si="12"/>
        <v>70.9</v>
      </c>
      <c r="J97" s="7">
        <v>78.5</v>
      </c>
      <c r="K97" s="7">
        <f t="shared" si="13"/>
        <v>73.94</v>
      </c>
    </row>
    <row r="98" ht="14.25" spans="1:11">
      <c r="A98" s="7">
        <v>96</v>
      </c>
      <c r="B98" s="7" t="s">
        <v>97</v>
      </c>
      <c r="C98" s="7" t="str">
        <f>"12"</f>
        <v>12</v>
      </c>
      <c r="D98" s="7" t="str">
        <f>"22"</f>
        <v>22</v>
      </c>
      <c r="E98" s="7" t="str">
        <f>"20210061222"</f>
        <v>20210061222</v>
      </c>
      <c r="F98" s="7" t="s">
        <v>113</v>
      </c>
      <c r="G98" s="7">
        <v>67</v>
      </c>
      <c r="H98" s="7">
        <v>62</v>
      </c>
      <c r="I98" s="8">
        <f t="shared" si="12"/>
        <v>65.5</v>
      </c>
      <c r="J98" s="7">
        <v>83.4</v>
      </c>
      <c r="K98" s="7">
        <f t="shared" si="13"/>
        <v>72.66</v>
      </c>
    </row>
    <row r="99" ht="14.25" spans="1:11">
      <c r="A99" s="7">
        <v>97</v>
      </c>
      <c r="B99" s="7" t="s">
        <v>114</v>
      </c>
      <c r="C99" s="7" t="str">
        <f t="shared" ref="C99:C104" si="18">"15"</f>
        <v>15</v>
      </c>
      <c r="D99" s="7" t="str">
        <f>"29"</f>
        <v>29</v>
      </c>
      <c r="E99" s="7" t="str">
        <f>"20210071529"</f>
        <v>20210071529</v>
      </c>
      <c r="F99" s="7" t="s">
        <v>115</v>
      </c>
      <c r="G99" s="7">
        <v>86</v>
      </c>
      <c r="H99" s="7">
        <v>88</v>
      </c>
      <c r="I99" s="8">
        <f t="shared" si="12"/>
        <v>86.6</v>
      </c>
      <c r="J99" s="7">
        <v>89.36</v>
      </c>
      <c r="K99" s="7">
        <f t="shared" si="13"/>
        <v>87.704</v>
      </c>
    </row>
    <row r="100" ht="14.25" spans="1:11">
      <c r="A100" s="7">
        <v>98</v>
      </c>
      <c r="B100" s="7" t="s">
        <v>114</v>
      </c>
      <c r="C100" s="7" t="str">
        <f t="shared" si="18"/>
        <v>15</v>
      </c>
      <c r="D100" s="7" t="str">
        <f>"25"</f>
        <v>25</v>
      </c>
      <c r="E100" s="7" t="str">
        <f>"20210071525"</f>
        <v>20210071525</v>
      </c>
      <c r="F100" s="7" t="s">
        <v>116</v>
      </c>
      <c r="G100" s="7">
        <v>82</v>
      </c>
      <c r="H100" s="7">
        <v>90</v>
      </c>
      <c r="I100" s="8">
        <f t="shared" si="12"/>
        <v>84.4</v>
      </c>
      <c r="J100" s="7">
        <v>72.9</v>
      </c>
      <c r="K100" s="7">
        <f t="shared" si="13"/>
        <v>79.8</v>
      </c>
    </row>
    <row r="101" ht="14.25" spans="1:11">
      <c r="A101" s="7">
        <v>99</v>
      </c>
      <c r="B101" s="7" t="s">
        <v>114</v>
      </c>
      <c r="C101" s="7" t="str">
        <f t="shared" ref="C101:C105" si="19">"16"</f>
        <v>16</v>
      </c>
      <c r="D101" s="7" t="str">
        <f>"11"</f>
        <v>11</v>
      </c>
      <c r="E101" s="7" t="str">
        <f>"20210071611"</f>
        <v>20210071611</v>
      </c>
      <c r="F101" s="7" t="s">
        <v>117</v>
      </c>
      <c r="G101" s="7">
        <v>78</v>
      </c>
      <c r="H101" s="7">
        <v>86</v>
      </c>
      <c r="I101" s="8">
        <f t="shared" si="12"/>
        <v>80.4</v>
      </c>
      <c r="J101" s="7">
        <v>78.4</v>
      </c>
      <c r="K101" s="7">
        <f t="shared" si="13"/>
        <v>79.6</v>
      </c>
    </row>
    <row r="102" ht="14.25" spans="1:11">
      <c r="A102" s="7">
        <v>100</v>
      </c>
      <c r="B102" s="7" t="s">
        <v>114</v>
      </c>
      <c r="C102" s="7" t="str">
        <f t="shared" si="19"/>
        <v>16</v>
      </c>
      <c r="D102" s="7" t="str">
        <f>"08"</f>
        <v>08</v>
      </c>
      <c r="E102" s="7" t="str">
        <f>"20210071608"</f>
        <v>20210071608</v>
      </c>
      <c r="F102" s="7" t="s">
        <v>118</v>
      </c>
      <c r="G102" s="7">
        <v>69.5</v>
      </c>
      <c r="H102" s="7">
        <v>86</v>
      </c>
      <c r="I102" s="8">
        <f t="shared" si="12"/>
        <v>74.45</v>
      </c>
      <c r="J102" s="7">
        <v>86.6</v>
      </c>
      <c r="K102" s="7">
        <f t="shared" si="13"/>
        <v>79.31</v>
      </c>
    </row>
    <row r="103" ht="14.25" spans="1:11">
      <c r="A103" s="7">
        <v>101</v>
      </c>
      <c r="B103" s="7" t="s">
        <v>114</v>
      </c>
      <c r="C103" s="7" t="str">
        <f t="shared" si="18"/>
        <v>15</v>
      </c>
      <c r="D103" s="7" t="str">
        <f>"08"</f>
        <v>08</v>
      </c>
      <c r="E103" s="7" t="str">
        <f>"20210071508"</f>
        <v>20210071508</v>
      </c>
      <c r="F103" s="7" t="s">
        <v>119</v>
      </c>
      <c r="G103" s="7">
        <v>77</v>
      </c>
      <c r="H103" s="7">
        <v>69</v>
      </c>
      <c r="I103" s="8">
        <f t="shared" si="12"/>
        <v>74.6</v>
      </c>
      <c r="J103" s="7">
        <v>84.3</v>
      </c>
      <c r="K103" s="7">
        <f t="shared" si="13"/>
        <v>78.48</v>
      </c>
    </row>
    <row r="104" ht="14.25" spans="1:11">
      <c r="A104" s="7">
        <v>102</v>
      </c>
      <c r="B104" s="7" t="s">
        <v>114</v>
      </c>
      <c r="C104" s="7" t="str">
        <f t="shared" si="18"/>
        <v>15</v>
      </c>
      <c r="D104" s="7" t="str">
        <f>"12"</f>
        <v>12</v>
      </c>
      <c r="E104" s="7" t="str">
        <f>"20210071512"</f>
        <v>20210071512</v>
      </c>
      <c r="F104" s="7" t="s">
        <v>120</v>
      </c>
      <c r="G104" s="7">
        <v>70</v>
      </c>
      <c r="H104" s="7">
        <v>93</v>
      </c>
      <c r="I104" s="8">
        <f t="shared" si="12"/>
        <v>76.9</v>
      </c>
      <c r="J104" s="7">
        <v>79.8</v>
      </c>
      <c r="K104" s="7">
        <f t="shared" si="13"/>
        <v>78.06</v>
      </c>
    </row>
    <row r="105" ht="14.25" spans="1:11">
      <c r="A105" s="7">
        <v>103</v>
      </c>
      <c r="B105" s="7" t="s">
        <v>114</v>
      </c>
      <c r="C105" s="7" t="str">
        <f t="shared" si="19"/>
        <v>16</v>
      </c>
      <c r="D105" s="7" t="str">
        <f>"01"</f>
        <v>01</v>
      </c>
      <c r="E105" s="7" t="str">
        <f>"20210071601"</f>
        <v>20210071601</v>
      </c>
      <c r="F105" s="7" t="s">
        <v>121</v>
      </c>
      <c r="G105" s="7">
        <v>73.5</v>
      </c>
      <c r="H105" s="7">
        <v>77</v>
      </c>
      <c r="I105" s="8">
        <f t="shared" si="12"/>
        <v>74.55</v>
      </c>
      <c r="J105" s="7">
        <v>83.2</v>
      </c>
      <c r="K105" s="7">
        <f t="shared" si="13"/>
        <v>78.01</v>
      </c>
    </row>
    <row r="106" ht="14.25" spans="1:11">
      <c r="A106" s="7">
        <v>104</v>
      </c>
      <c r="B106" s="7" t="s">
        <v>114</v>
      </c>
      <c r="C106" s="7" t="str">
        <f>"15"</f>
        <v>15</v>
      </c>
      <c r="D106" s="7" t="str">
        <f>"10"</f>
        <v>10</v>
      </c>
      <c r="E106" s="7" t="str">
        <f>"20210071510"</f>
        <v>20210071510</v>
      </c>
      <c r="F106" s="7" t="s">
        <v>88</v>
      </c>
      <c r="G106" s="7">
        <v>73</v>
      </c>
      <c r="H106" s="7">
        <v>82</v>
      </c>
      <c r="I106" s="8">
        <f t="shared" si="12"/>
        <v>75.7</v>
      </c>
      <c r="J106" s="7">
        <v>81.1</v>
      </c>
      <c r="K106" s="7">
        <f t="shared" si="13"/>
        <v>77.86</v>
      </c>
    </row>
    <row r="107" ht="14.25" spans="1:11">
      <c r="A107" s="7">
        <v>105</v>
      </c>
      <c r="B107" s="7" t="s">
        <v>114</v>
      </c>
      <c r="C107" s="7" t="str">
        <f t="shared" ref="C107:C110" si="20">"16"</f>
        <v>16</v>
      </c>
      <c r="D107" s="7" t="str">
        <f>"15"</f>
        <v>15</v>
      </c>
      <c r="E107" s="7" t="str">
        <f>"20210071615"</f>
        <v>20210071615</v>
      </c>
      <c r="F107" s="7" t="s">
        <v>122</v>
      </c>
      <c r="G107" s="7">
        <v>65</v>
      </c>
      <c r="H107" s="7">
        <v>82</v>
      </c>
      <c r="I107" s="8">
        <f t="shared" si="12"/>
        <v>70.1</v>
      </c>
      <c r="J107" s="7">
        <v>85.6</v>
      </c>
      <c r="K107" s="7">
        <f t="shared" si="13"/>
        <v>76.3</v>
      </c>
    </row>
    <row r="108" ht="14.25" spans="1:11">
      <c r="A108" s="7">
        <v>106</v>
      </c>
      <c r="B108" s="7" t="s">
        <v>114</v>
      </c>
      <c r="C108" s="7" t="str">
        <f t="shared" si="20"/>
        <v>16</v>
      </c>
      <c r="D108" s="7" t="str">
        <f>"24"</f>
        <v>24</v>
      </c>
      <c r="E108" s="7" t="str">
        <f>"20210071624"</f>
        <v>20210071624</v>
      </c>
      <c r="F108" s="7" t="s">
        <v>123</v>
      </c>
      <c r="G108" s="7">
        <v>65</v>
      </c>
      <c r="H108" s="7">
        <v>89</v>
      </c>
      <c r="I108" s="8">
        <f t="shared" si="12"/>
        <v>72.2</v>
      </c>
      <c r="J108" s="7">
        <v>82.2</v>
      </c>
      <c r="K108" s="7">
        <f t="shared" si="13"/>
        <v>76.2</v>
      </c>
    </row>
    <row r="109" ht="14.25" spans="1:11">
      <c r="A109" s="7">
        <v>107</v>
      </c>
      <c r="B109" s="7" t="s">
        <v>114</v>
      </c>
      <c r="C109" s="7" t="str">
        <f>"17"</f>
        <v>17</v>
      </c>
      <c r="D109" s="7" t="str">
        <f>"02"</f>
        <v>02</v>
      </c>
      <c r="E109" s="7" t="str">
        <f>"20210071702"</f>
        <v>20210071702</v>
      </c>
      <c r="F109" s="7" t="s">
        <v>124</v>
      </c>
      <c r="G109" s="7">
        <v>69</v>
      </c>
      <c r="H109" s="7">
        <v>76</v>
      </c>
      <c r="I109" s="8">
        <f t="shared" si="12"/>
        <v>71.1</v>
      </c>
      <c r="J109" s="7">
        <v>81.8</v>
      </c>
      <c r="K109" s="7">
        <f t="shared" si="13"/>
        <v>75.38</v>
      </c>
    </row>
    <row r="110" ht="14.25" spans="1:11">
      <c r="A110" s="7">
        <v>108</v>
      </c>
      <c r="B110" s="7" t="s">
        <v>114</v>
      </c>
      <c r="C110" s="7" t="str">
        <f t="shared" si="20"/>
        <v>16</v>
      </c>
      <c r="D110" s="7" t="str">
        <f>"21"</f>
        <v>21</v>
      </c>
      <c r="E110" s="7" t="str">
        <f>"20210071621"</f>
        <v>20210071621</v>
      </c>
      <c r="F110" s="7" t="s">
        <v>125</v>
      </c>
      <c r="G110" s="7">
        <v>78.5</v>
      </c>
      <c r="H110" s="7">
        <v>72</v>
      </c>
      <c r="I110" s="8">
        <f t="shared" si="12"/>
        <v>76.55</v>
      </c>
      <c r="J110" s="7">
        <v>73.6</v>
      </c>
      <c r="K110" s="7">
        <f t="shared" si="13"/>
        <v>75.37</v>
      </c>
    </row>
    <row r="111" ht="14.25" spans="1:11">
      <c r="A111" s="7">
        <v>109</v>
      </c>
      <c r="B111" s="7" t="s">
        <v>114</v>
      </c>
      <c r="C111" s="7" t="str">
        <f>"15"</f>
        <v>15</v>
      </c>
      <c r="D111" s="7" t="str">
        <f>"17"</f>
        <v>17</v>
      </c>
      <c r="E111" s="7" t="str">
        <f>"20210071517"</f>
        <v>20210071517</v>
      </c>
      <c r="F111" s="7" t="s">
        <v>126</v>
      </c>
      <c r="G111" s="7">
        <v>68</v>
      </c>
      <c r="H111" s="7">
        <v>76</v>
      </c>
      <c r="I111" s="8">
        <f t="shared" si="12"/>
        <v>70.4</v>
      </c>
      <c r="J111" s="7">
        <v>81.4</v>
      </c>
      <c r="K111" s="7">
        <f t="shared" si="13"/>
        <v>74.8</v>
      </c>
    </row>
    <row r="112" ht="14.25" spans="1:11">
      <c r="A112" s="7">
        <v>110</v>
      </c>
      <c r="B112" s="7" t="s">
        <v>114</v>
      </c>
      <c r="C112" s="7" t="str">
        <f>"16"</f>
        <v>16</v>
      </c>
      <c r="D112" s="7" t="str">
        <f>"06"</f>
        <v>06</v>
      </c>
      <c r="E112" s="7" t="str">
        <f>"20210071606"</f>
        <v>20210071606</v>
      </c>
      <c r="F112" s="7" t="s">
        <v>127</v>
      </c>
      <c r="G112" s="7">
        <v>70</v>
      </c>
      <c r="H112" s="7">
        <v>73</v>
      </c>
      <c r="I112" s="8">
        <f t="shared" si="12"/>
        <v>70.9</v>
      </c>
      <c r="J112" s="7">
        <v>80.6</v>
      </c>
      <c r="K112" s="7">
        <f t="shared" si="13"/>
        <v>74.78</v>
      </c>
    </row>
    <row r="113" ht="14.25" spans="1:11">
      <c r="A113" s="7">
        <v>111</v>
      </c>
      <c r="B113" s="7" t="s">
        <v>114</v>
      </c>
      <c r="C113" s="7" t="str">
        <f>"16"</f>
        <v>16</v>
      </c>
      <c r="D113" s="7" t="str">
        <f>"25"</f>
        <v>25</v>
      </c>
      <c r="E113" s="7" t="str">
        <f>"20210071625"</f>
        <v>20210071625</v>
      </c>
      <c r="F113" s="7" t="s">
        <v>128</v>
      </c>
      <c r="G113" s="7">
        <v>74</v>
      </c>
      <c r="H113" s="7">
        <v>73</v>
      </c>
      <c r="I113" s="8">
        <f t="shared" si="12"/>
        <v>73.7</v>
      </c>
      <c r="J113" s="7">
        <v>73.8</v>
      </c>
      <c r="K113" s="7">
        <f t="shared" si="13"/>
        <v>73.74</v>
      </c>
    </row>
    <row r="114" ht="14.25" spans="1:11">
      <c r="A114" s="7">
        <v>112</v>
      </c>
      <c r="B114" s="7" t="s">
        <v>114</v>
      </c>
      <c r="C114" s="7" t="str">
        <f>"17"</f>
        <v>17</v>
      </c>
      <c r="D114" s="7" t="str">
        <f>"06"</f>
        <v>06</v>
      </c>
      <c r="E114" s="7" t="str">
        <f>"20210071706"</f>
        <v>20210071706</v>
      </c>
      <c r="F114" s="7" t="s">
        <v>129</v>
      </c>
      <c r="G114" s="7">
        <v>73</v>
      </c>
      <c r="H114" s="7">
        <v>80</v>
      </c>
      <c r="I114" s="8">
        <f t="shared" si="12"/>
        <v>75.1</v>
      </c>
      <c r="J114" s="7">
        <v>71</v>
      </c>
      <c r="K114" s="7">
        <f t="shared" si="13"/>
        <v>73.46</v>
      </c>
    </row>
    <row r="115" ht="14.25" spans="1:11">
      <c r="A115" s="7">
        <v>113</v>
      </c>
      <c r="B115" s="7" t="s">
        <v>130</v>
      </c>
      <c r="C115" s="7" t="str">
        <f t="shared" ref="C115:C119" si="21">"19"</f>
        <v>19</v>
      </c>
      <c r="D115" s="7" t="str">
        <f>"05"</f>
        <v>05</v>
      </c>
      <c r="E115" s="7" t="str">
        <f>"20210081905"</f>
        <v>20210081905</v>
      </c>
      <c r="F115" s="7" t="s">
        <v>131</v>
      </c>
      <c r="G115" s="7">
        <v>73</v>
      </c>
      <c r="H115" s="7">
        <v>84</v>
      </c>
      <c r="I115" s="8">
        <f t="shared" si="12"/>
        <v>76.3</v>
      </c>
      <c r="J115" s="7">
        <v>85.2</v>
      </c>
      <c r="K115" s="7">
        <f t="shared" si="13"/>
        <v>79.86</v>
      </c>
    </row>
    <row r="116" ht="14.25" spans="1:11">
      <c r="A116" s="7">
        <v>114</v>
      </c>
      <c r="B116" s="7" t="s">
        <v>130</v>
      </c>
      <c r="C116" s="7" t="str">
        <f t="shared" ref="C116:C121" si="22">"18"</f>
        <v>18</v>
      </c>
      <c r="D116" s="7" t="str">
        <f>"11"</f>
        <v>11</v>
      </c>
      <c r="E116" s="7" t="str">
        <f>"20210081811"</f>
        <v>20210081811</v>
      </c>
      <c r="F116" s="7" t="s">
        <v>132</v>
      </c>
      <c r="G116" s="7">
        <v>78</v>
      </c>
      <c r="H116" s="7">
        <v>76</v>
      </c>
      <c r="I116" s="8">
        <f t="shared" si="12"/>
        <v>77.4</v>
      </c>
      <c r="J116" s="7">
        <v>82.6</v>
      </c>
      <c r="K116" s="7">
        <f t="shared" si="13"/>
        <v>79.48</v>
      </c>
    </row>
    <row r="117" ht="14.25" spans="1:11">
      <c r="A117" s="7">
        <v>115</v>
      </c>
      <c r="B117" s="7" t="s">
        <v>130</v>
      </c>
      <c r="C117" s="7" t="str">
        <f t="shared" si="21"/>
        <v>19</v>
      </c>
      <c r="D117" s="7" t="str">
        <f>"18"</f>
        <v>18</v>
      </c>
      <c r="E117" s="7" t="str">
        <f>"20210081918"</f>
        <v>20210081918</v>
      </c>
      <c r="F117" s="7" t="s">
        <v>133</v>
      </c>
      <c r="G117" s="7">
        <v>79</v>
      </c>
      <c r="H117" s="7">
        <v>86</v>
      </c>
      <c r="I117" s="8">
        <f t="shared" si="12"/>
        <v>81.1</v>
      </c>
      <c r="J117" s="7">
        <v>75.8</v>
      </c>
      <c r="K117" s="7">
        <f t="shared" si="13"/>
        <v>78.98</v>
      </c>
    </row>
    <row r="118" ht="14.25" spans="1:11">
      <c r="A118" s="7">
        <v>116</v>
      </c>
      <c r="B118" s="7" t="s">
        <v>130</v>
      </c>
      <c r="C118" s="7" t="str">
        <f>"17"</f>
        <v>17</v>
      </c>
      <c r="D118" s="7" t="str">
        <f>"29"</f>
        <v>29</v>
      </c>
      <c r="E118" s="7" t="str">
        <f>"20210081729"</f>
        <v>20210081729</v>
      </c>
      <c r="F118" s="7" t="s">
        <v>134</v>
      </c>
      <c r="G118" s="7">
        <v>77</v>
      </c>
      <c r="H118" s="7">
        <v>85</v>
      </c>
      <c r="I118" s="8">
        <f t="shared" si="12"/>
        <v>79.4</v>
      </c>
      <c r="J118" s="7">
        <v>76.4</v>
      </c>
      <c r="K118" s="7">
        <f t="shared" si="13"/>
        <v>78.2</v>
      </c>
    </row>
    <row r="119" ht="14.25" spans="1:11">
      <c r="A119" s="7">
        <v>117</v>
      </c>
      <c r="B119" s="7" t="s">
        <v>130</v>
      </c>
      <c r="C119" s="7" t="str">
        <f t="shared" si="21"/>
        <v>19</v>
      </c>
      <c r="D119" s="7" t="str">
        <f>"11"</f>
        <v>11</v>
      </c>
      <c r="E119" s="7" t="str">
        <f>"20210081911"</f>
        <v>20210081911</v>
      </c>
      <c r="F119" s="7" t="s">
        <v>135</v>
      </c>
      <c r="G119" s="7">
        <v>72</v>
      </c>
      <c r="H119" s="7">
        <v>85</v>
      </c>
      <c r="I119" s="8">
        <f t="shared" si="12"/>
        <v>75.9</v>
      </c>
      <c r="J119" s="7">
        <v>80</v>
      </c>
      <c r="K119" s="7">
        <f t="shared" si="13"/>
        <v>77.54</v>
      </c>
    </row>
    <row r="120" ht="14.25" spans="1:11">
      <c r="A120" s="7">
        <v>118</v>
      </c>
      <c r="B120" s="7" t="s">
        <v>130</v>
      </c>
      <c r="C120" s="7" t="str">
        <f t="shared" si="22"/>
        <v>18</v>
      </c>
      <c r="D120" s="7" t="str">
        <f>"17"</f>
        <v>17</v>
      </c>
      <c r="E120" s="7" t="str">
        <f>"20210081817"</f>
        <v>20210081817</v>
      </c>
      <c r="F120" s="7" t="s">
        <v>136</v>
      </c>
      <c r="G120" s="7">
        <v>68.5</v>
      </c>
      <c r="H120" s="7">
        <v>81</v>
      </c>
      <c r="I120" s="8">
        <f t="shared" si="12"/>
        <v>72.25</v>
      </c>
      <c r="J120" s="7">
        <v>83.2</v>
      </c>
      <c r="K120" s="7">
        <f t="shared" si="13"/>
        <v>76.63</v>
      </c>
    </row>
    <row r="121" ht="14.25" spans="1:11">
      <c r="A121" s="7">
        <v>119</v>
      </c>
      <c r="B121" s="7" t="s">
        <v>130</v>
      </c>
      <c r="C121" s="7" t="str">
        <f t="shared" si="22"/>
        <v>18</v>
      </c>
      <c r="D121" s="7" t="str">
        <f>"27"</f>
        <v>27</v>
      </c>
      <c r="E121" s="7" t="str">
        <f>"20210081827"</f>
        <v>20210081827</v>
      </c>
      <c r="F121" s="7" t="s">
        <v>137</v>
      </c>
      <c r="G121" s="7">
        <v>68</v>
      </c>
      <c r="H121" s="7">
        <v>89</v>
      </c>
      <c r="I121" s="8">
        <f t="shared" si="12"/>
        <v>74.3</v>
      </c>
      <c r="J121" s="7">
        <v>79.8</v>
      </c>
      <c r="K121" s="7">
        <f t="shared" si="13"/>
        <v>76.5</v>
      </c>
    </row>
    <row r="122" ht="14.25" spans="1:11">
      <c r="A122" s="7">
        <v>120</v>
      </c>
      <c r="B122" s="7" t="s">
        <v>130</v>
      </c>
      <c r="C122" s="7" t="str">
        <f>"17"</f>
        <v>17</v>
      </c>
      <c r="D122" s="7" t="str">
        <f>"20"</f>
        <v>20</v>
      </c>
      <c r="E122" s="7" t="str">
        <f>"20210081720"</f>
        <v>20210081720</v>
      </c>
      <c r="F122" s="7" t="s">
        <v>138</v>
      </c>
      <c r="G122" s="7">
        <v>68</v>
      </c>
      <c r="H122" s="7">
        <v>83</v>
      </c>
      <c r="I122" s="8">
        <f t="shared" si="12"/>
        <v>72.5</v>
      </c>
      <c r="J122" s="7">
        <v>82.2</v>
      </c>
      <c r="K122" s="7">
        <f t="shared" si="13"/>
        <v>76.38</v>
      </c>
    </row>
    <row r="123" ht="14.25" spans="1:11">
      <c r="A123" s="7">
        <v>121</v>
      </c>
      <c r="B123" s="7" t="s">
        <v>130</v>
      </c>
      <c r="C123" s="7" t="str">
        <f t="shared" ref="C123:C127" si="23">"18"</f>
        <v>18</v>
      </c>
      <c r="D123" s="7" t="str">
        <f>"26"</f>
        <v>26</v>
      </c>
      <c r="E123" s="7" t="str">
        <f>"20210081826"</f>
        <v>20210081826</v>
      </c>
      <c r="F123" s="7" t="s">
        <v>139</v>
      </c>
      <c r="G123" s="7">
        <v>76</v>
      </c>
      <c r="H123" s="7">
        <v>72</v>
      </c>
      <c r="I123" s="8">
        <f t="shared" si="12"/>
        <v>74.8</v>
      </c>
      <c r="J123" s="7">
        <v>76.4</v>
      </c>
      <c r="K123" s="7">
        <f t="shared" si="13"/>
        <v>75.44</v>
      </c>
    </row>
    <row r="124" ht="14.25" spans="1:11">
      <c r="A124" s="7">
        <v>122</v>
      </c>
      <c r="B124" s="7" t="s">
        <v>130</v>
      </c>
      <c r="C124" s="7" t="str">
        <f>"19"</f>
        <v>19</v>
      </c>
      <c r="D124" s="7" t="str">
        <f>"06"</f>
        <v>06</v>
      </c>
      <c r="E124" s="7" t="str">
        <f>"20210081906"</f>
        <v>20210081906</v>
      </c>
      <c r="F124" s="7" t="s">
        <v>140</v>
      </c>
      <c r="G124" s="7">
        <v>74</v>
      </c>
      <c r="H124" s="7">
        <v>71</v>
      </c>
      <c r="I124" s="8">
        <f t="shared" si="12"/>
        <v>73.1</v>
      </c>
      <c r="J124" s="7">
        <v>77.6</v>
      </c>
      <c r="K124" s="7">
        <f t="shared" si="13"/>
        <v>74.9</v>
      </c>
    </row>
    <row r="125" ht="14.25" spans="1:11">
      <c r="A125" s="7">
        <v>123</v>
      </c>
      <c r="B125" s="7" t="s">
        <v>130</v>
      </c>
      <c r="C125" s="7" t="str">
        <f>"17"</f>
        <v>17</v>
      </c>
      <c r="D125" s="7" t="str">
        <f>"30"</f>
        <v>30</v>
      </c>
      <c r="E125" s="7" t="str">
        <f>"20210081730"</f>
        <v>20210081730</v>
      </c>
      <c r="F125" s="7" t="s">
        <v>141</v>
      </c>
      <c r="G125" s="7">
        <v>73</v>
      </c>
      <c r="H125" s="7">
        <v>83</v>
      </c>
      <c r="I125" s="8">
        <f t="shared" si="12"/>
        <v>76</v>
      </c>
      <c r="J125" s="7">
        <v>72</v>
      </c>
      <c r="K125" s="7">
        <f t="shared" si="13"/>
        <v>74.4</v>
      </c>
    </row>
    <row r="126" ht="14.25" spans="1:11">
      <c r="A126" s="7">
        <v>124</v>
      </c>
      <c r="B126" s="7" t="s">
        <v>130</v>
      </c>
      <c r="C126" s="7" t="str">
        <f t="shared" si="23"/>
        <v>18</v>
      </c>
      <c r="D126" s="7" t="str">
        <f>"28"</f>
        <v>28</v>
      </c>
      <c r="E126" s="7" t="str">
        <f>"20210081828"</f>
        <v>20210081828</v>
      </c>
      <c r="F126" s="7" t="s">
        <v>142</v>
      </c>
      <c r="G126" s="7">
        <v>67</v>
      </c>
      <c r="H126" s="7">
        <v>81</v>
      </c>
      <c r="I126" s="8">
        <f t="shared" si="12"/>
        <v>71.2</v>
      </c>
      <c r="J126" s="7">
        <v>74.8</v>
      </c>
      <c r="K126" s="7">
        <f t="shared" si="13"/>
        <v>72.64</v>
      </c>
    </row>
    <row r="127" ht="14.25" spans="1:11">
      <c r="A127" s="7">
        <v>125</v>
      </c>
      <c r="B127" s="7" t="s">
        <v>130</v>
      </c>
      <c r="C127" s="7" t="str">
        <f t="shared" si="23"/>
        <v>18</v>
      </c>
      <c r="D127" s="7" t="str">
        <f>"09"</f>
        <v>09</v>
      </c>
      <c r="E127" s="7" t="str">
        <f>"20210081809"</f>
        <v>20210081809</v>
      </c>
      <c r="F127" s="7" t="s">
        <v>143</v>
      </c>
      <c r="G127" s="7">
        <v>70.5</v>
      </c>
      <c r="H127" s="7">
        <v>70</v>
      </c>
      <c r="I127" s="8">
        <f t="shared" si="12"/>
        <v>70.35</v>
      </c>
      <c r="J127" s="7">
        <v>73</v>
      </c>
      <c r="K127" s="7">
        <f t="shared" si="13"/>
        <v>71.41</v>
      </c>
    </row>
    <row r="128" ht="14.25" spans="1:11">
      <c r="A128" s="7">
        <v>126</v>
      </c>
      <c r="B128" s="7" t="s">
        <v>130</v>
      </c>
      <c r="C128" s="7" t="str">
        <f>"19"</f>
        <v>19</v>
      </c>
      <c r="D128" s="7" t="str">
        <f>"03"</f>
        <v>03</v>
      </c>
      <c r="E128" s="7" t="str">
        <f>"20210081903"</f>
        <v>20210081903</v>
      </c>
      <c r="F128" s="7" t="s">
        <v>144</v>
      </c>
      <c r="G128" s="7">
        <v>72</v>
      </c>
      <c r="H128" s="7">
        <v>71</v>
      </c>
      <c r="I128" s="8">
        <f t="shared" si="12"/>
        <v>71.7</v>
      </c>
      <c r="J128" s="7">
        <v>70</v>
      </c>
      <c r="K128" s="7">
        <f t="shared" si="13"/>
        <v>71.02</v>
      </c>
    </row>
    <row r="129" ht="14.25" spans="1:11">
      <c r="A129" s="7">
        <v>127</v>
      </c>
      <c r="B129" s="7" t="s">
        <v>130</v>
      </c>
      <c r="C129" s="7" t="str">
        <f>"17"</f>
        <v>17</v>
      </c>
      <c r="D129" s="7" t="str">
        <f>"16"</f>
        <v>16</v>
      </c>
      <c r="E129" s="7" t="str">
        <f>"20210081716"</f>
        <v>20210081716</v>
      </c>
      <c r="F129" s="7" t="s">
        <v>145</v>
      </c>
      <c r="G129" s="7">
        <v>51</v>
      </c>
      <c r="H129" s="7">
        <v>83</v>
      </c>
      <c r="I129" s="8">
        <f t="shared" si="12"/>
        <v>60.6</v>
      </c>
      <c r="J129" s="7">
        <v>83.8</v>
      </c>
      <c r="K129" s="7">
        <f t="shared" si="13"/>
        <v>69.88</v>
      </c>
    </row>
    <row r="130" ht="14.25" spans="1:11">
      <c r="A130" s="7">
        <v>128</v>
      </c>
      <c r="B130" s="7" t="s">
        <v>130</v>
      </c>
      <c r="C130" s="7" t="str">
        <f>"18"</f>
        <v>18</v>
      </c>
      <c r="D130" s="7" t="str">
        <f>"25"</f>
        <v>25</v>
      </c>
      <c r="E130" s="7" t="str">
        <f>"20210081825"</f>
        <v>20210081825</v>
      </c>
      <c r="F130" s="7" t="s">
        <v>146</v>
      </c>
      <c r="G130" s="7">
        <v>57</v>
      </c>
      <c r="H130" s="7">
        <v>71</v>
      </c>
      <c r="I130" s="8">
        <f t="shared" si="12"/>
        <v>61.2</v>
      </c>
      <c r="J130" s="7">
        <v>82.6</v>
      </c>
      <c r="K130" s="7">
        <f t="shared" si="13"/>
        <v>69.76</v>
      </c>
    </row>
    <row r="131" ht="14.25" spans="1:11">
      <c r="A131" s="7">
        <v>129</v>
      </c>
      <c r="B131" s="7" t="s">
        <v>147</v>
      </c>
      <c r="C131" s="7" t="str">
        <f>"21"</f>
        <v>21</v>
      </c>
      <c r="D131" s="7" t="str">
        <f>"15"</f>
        <v>15</v>
      </c>
      <c r="E131" s="7" t="str">
        <f>"20210092115"</f>
        <v>20210092115</v>
      </c>
      <c r="F131" s="7" t="s">
        <v>148</v>
      </c>
      <c r="G131" s="7">
        <v>72</v>
      </c>
      <c r="H131" s="7">
        <v>79</v>
      </c>
      <c r="I131" s="8">
        <f t="shared" ref="I131:I194" si="24">G131*0.7+H131*0.3</f>
        <v>74.1</v>
      </c>
      <c r="J131" s="7">
        <v>85</v>
      </c>
      <c r="K131" s="7">
        <f t="shared" ref="K131:K194" si="25">I131*0.6+J131*0.4</f>
        <v>78.46</v>
      </c>
    </row>
    <row r="132" ht="14.25" spans="1:11">
      <c r="A132" s="7">
        <v>130</v>
      </c>
      <c r="B132" s="7" t="s">
        <v>147</v>
      </c>
      <c r="C132" s="7" t="str">
        <f t="shared" ref="C132:C135" si="26">"20"</f>
        <v>20</v>
      </c>
      <c r="D132" s="7" t="str">
        <f>"30"</f>
        <v>30</v>
      </c>
      <c r="E132" s="7" t="str">
        <f>"20210092030"</f>
        <v>20210092030</v>
      </c>
      <c r="F132" s="7" t="s">
        <v>149</v>
      </c>
      <c r="G132" s="7">
        <v>73</v>
      </c>
      <c r="H132" s="7">
        <v>73</v>
      </c>
      <c r="I132" s="8">
        <f t="shared" si="24"/>
        <v>73</v>
      </c>
      <c r="J132" s="7">
        <v>81.4</v>
      </c>
      <c r="K132" s="7">
        <f t="shared" si="25"/>
        <v>76.36</v>
      </c>
    </row>
    <row r="133" ht="14.25" spans="1:11">
      <c r="A133" s="7">
        <v>131</v>
      </c>
      <c r="B133" s="7" t="s">
        <v>147</v>
      </c>
      <c r="C133" s="7" t="str">
        <f t="shared" si="26"/>
        <v>20</v>
      </c>
      <c r="D133" s="7" t="str">
        <f>"26"</f>
        <v>26</v>
      </c>
      <c r="E133" s="7" t="str">
        <f>"20210092026"</f>
        <v>20210092026</v>
      </c>
      <c r="F133" s="7" t="s">
        <v>150</v>
      </c>
      <c r="G133" s="7">
        <v>70</v>
      </c>
      <c r="H133" s="7">
        <v>77</v>
      </c>
      <c r="I133" s="8">
        <f t="shared" si="24"/>
        <v>72.1</v>
      </c>
      <c r="J133" s="7">
        <v>82</v>
      </c>
      <c r="K133" s="7">
        <f t="shared" si="25"/>
        <v>76.06</v>
      </c>
    </row>
    <row r="134" ht="14.25" spans="1:11">
      <c r="A134" s="7">
        <v>132</v>
      </c>
      <c r="B134" s="7" t="s">
        <v>147</v>
      </c>
      <c r="C134" s="7" t="str">
        <f>"19"</f>
        <v>19</v>
      </c>
      <c r="D134" s="7" t="str">
        <f>"27"</f>
        <v>27</v>
      </c>
      <c r="E134" s="7" t="str">
        <f>"20210091927"</f>
        <v>20210091927</v>
      </c>
      <c r="F134" s="7" t="s">
        <v>151</v>
      </c>
      <c r="G134" s="7">
        <v>81</v>
      </c>
      <c r="H134" s="7">
        <v>73</v>
      </c>
      <c r="I134" s="8">
        <f t="shared" si="24"/>
        <v>78.6</v>
      </c>
      <c r="J134" s="7">
        <v>71.6</v>
      </c>
      <c r="K134" s="7">
        <f t="shared" si="25"/>
        <v>75.8</v>
      </c>
    </row>
    <row r="135" ht="14.25" spans="1:11">
      <c r="A135" s="7">
        <v>133</v>
      </c>
      <c r="B135" s="7" t="s">
        <v>147</v>
      </c>
      <c r="C135" s="7" t="str">
        <f t="shared" si="26"/>
        <v>20</v>
      </c>
      <c r="D135" s="7" t="str">
        <f>"12"</f>
        <v>12</v>
      </c>
      <c r="E135" s="7" t="str">
        <f>"20210092012"</f>
        <v>20210092012</v>
      </c>
      <c r="F135" s="7" t="s">
        <v>152</v>
      </c>
      <c r="G135" s="7">
        <v>67</v>
      </c>
      <c r="H135" s="7">
        <v>68</v>
      </c>
      <c r="I135" s="8">
        <f t="shared" si="24"/>
        <v>67.3</v>
      </c>
      <c r="J135" s="7">
        <v>87.4</v>
      </c>
      <c r="K135" s="7">
        <f t="shared" si="25"/>
        <v>75.34</v>
      </c>
    </row>
    <row r="136" ht="14.25" spans="1:11">
      <c r="A136" s="7">
        <v>134</v>
      </c>
      <c r="B136" s="7" t="s">
        <v>147</v>
      </c>
      <c r="C136" s="7" t="str">
        <f t="shared" ref="C136:C138" si="27">"21"</f>
        <v>21</v>
      </c>
      <c r="D136" s="7" t="str">
        <f>"07"</f>
        <v>07</v>
      </c>
      <c r="E136" s="7" t="str">
        <f>"20210092107"</f>
        <v>20210092107</v>
      </c>
      <c r="F136" s="7" t="s">
        <v>153</v>
      </c>
      <c r="G136" s="7">
        <v>70</v>
      </c>
      <c r="H136" s="7">
        <v>67</v>
      </c>
      <c r="I136" s="8">
        <f t="shared" si="24"/>
        <v>69.1</v>
      </c>
      <c r="J136" s="7">
        <v>84.2</v>
      </c>
      <c r="K136" s="7">
        <f t="shared" si="25"/>
        <v>75.14</v>
      </c>
    </row>
    <row r="137" ht="14.25" spans="1:11">
      <c r="A137" s="7">
        <v>135</v>
      </c>
      <c r="B137" s="7" t="s">
        <v>147</v>
      </c>
      <c r="C137" s="7" t="str">
        <f t="shared" si="27"/>
        <v>21</v>
      </c>
      <c r="D137" s="7" t="str">
        <f>"05"</f>
        <v>05</v>
      </c>
      <c r="E137" s="7" t="str">
        <f>"20210092105"</f>
        <v>20210092105</v>
      </c>
      <c r="F137" s="7" t="s">
        <v>154</v>
      </c>
      <c r="G137" s="7">
        <v>59</v>
      </c>
      <c r="H137" s="7">
        <v>85</v>
      </c>
      <c r="I137" s="8">
        <f t="shared" si="24"/>
        <v>66.8</v>
      </c>
      <c r="J137" s="7">
        <v>87.2</v>
      </c>
      <c r="K137" s="7">
        <f t="shared" si="25"/>
        <v>74.96</v>
      </c>
    </row>
    <row r="138" ht="14.25" spans="1:11">
      <c r="A138" s="7">
        <v>136</v>
      </c>
      <c r="B138" s="7" t="s">
        <v>147</v>
      </c>
      <c r="C138" s="7" t="str">
        <f t="shared" si="27"/>
        <v>21</v>
      </c>
      <c r="D138" s="7" t="str">
        <f>"12"</f>
        <v>12</v>
      </c>
      <c r="E138" s="7" t="str">
        <f>"20210092112"</f>
        <v>20210092112</v>
      </c>
      <c r="F138" s="7" t="s">
        <v>155</v>
      </c>
      <c r="G138" s="7">
        <v>61</v>
      </c>
      <c r="H138" s="7">
        <v>82</v>
      </c>
      <c r="I138" s="8">
        <f t="shared" si="24"/>
        <v>67.3</v>
      </c>
      <c r="J138" s="7">
        <v>82.2</v>
      </c>
      <c r="K138" s="7">
        <f t="shared" si="25"/>
        <v>73.26</v>
      </c>
    </row>
    <row r="139" ht="14.25" spans="1:11">
      <c r="A139" s="7">
        <v>137</v>
      </c>
      <c r="B139" s="7" t="s">
        <v>147</v>
      </c>
      <c r="C139" s="7" t="str">
        <f t="shared" ref="C139:C143" si="28">"20"</f>
        <v>20</v>
      </c>
      <c r="D139" s="7" t="str">
        <f>"25"</f>
        <v>25</v>
      </c>
      <c r="E139" s="7" t="str">
        <f>"20210092025"</f>
        <v>20210092025</v>
      </c>
      <c r="F139" s="7" t="s">
        <v>156</v>
      </c>
      <c r="G139" s="7">
        <v>62</v>
      </c>
      <c r="H139" s="7">
        <v>74</v>
      </c>
      <c r="I139" s="8">
        <f t="shared" si="24"/>
        <v>65.6</v>
      </c>
      <c r="J139" s="7">
        <v>82.8</v>
      </c>
      <c r="K139" s="7">
        <f t="shared" si="25"/>
        <v>72.48</v>
      </c>
    </row>
    <row r="140" ht="14.25" spans="1:11">
      <c r="A140" s="7">
        <v>138</v>
      </c>
      <c r="B140" s="7" t="s">
        <v>147</v>
      </c>
      <c r="C140" s="7" t="str">
        <f t="shared" si="28"/>
        <v>20</v>
      </c>
      <c r="D140" s="7" t="str">
        <f>"06"</f>
        <v>06</v>
      </c>
      <c r="E140" s="7" t="str">
        <f>"20210092006"</f>
        <v>20210092006</v>
      </c>
      <c r="F140" s="7" t="s">
        <v>157</v>
      </c>
      <c r="G140" s="7">
        <v>66.5</v>
      </c>
      <c r="H140" s="7">
        <v>62</v>
      </c>
      <c r="I140" s="8">
        <f t="shared" si="24"/>
        <v>65.15</v>
      </c>
      <c r="J140" s="7">
        <v>78.6</v>
      </c>
      <c r="K140" s="7">
        <f t="shared" si="25"/>
        <v>70.53</v>
      </c>
    </row>
    <row r="141" ht="14.25" spans="1:11">
      <c r="A141" s="7">
        <v>139</v>
      </c>
      <c r="B141" s="7" t="s">
        <v>147</v>
      </c>
      <c r="C141" s="7" t="str">
        <f t="shared" ref="C141:C146" si="29">"21"</f>
        <v>21</v>
      </c>
      <c r="D141" s="7" t="str">
        <f>"08"</f>
        <v>08</v>
      </c>
      <c r="E141" s="7" t="str">
        <f>"20210092108"</f>
        <v>20210092108</v>
      </c>
      <c r="F141" s="7" t="s">
        <v>158</v>
      </c>
      <c r="G141" s="7">
        <v>59</v>
      </c>
      <c r="H141" s="7">
        <v>76</v>
      </c>
      <c r="I141" s="8">
        <f t="shared" si="24"/>
        <v>64.1</v>
      </c>
      <c r="J141" s="7">
        <v>79.8</v>
      </c>
      <c r="K141" s="7">
        <f t="shared" si="25"/>
        <v>70.38</v>
      </c>
    </row>
    <row r="142" ht="14.25" spans="1:11">
      <c r="A142" s="7">
        <v>140</v>
      </c>
      <c r="B142" s="7" t="s">
        <v>147</v>
      </c>
      <c r="C142" s="7" t="str">
        <f t="shared" si="28"/>
        <v>20</v>
      </c>
      <c r="D142" s="7" t="str">
        <f>"07"</f>
        <v>07</v>
      </c>
      <c r="E142" s="7" t="str">
        <f>"20210092007"</f>
        <v>20210092007</v>
      </c>
      <c r="F142" s="7" t="s">
        <v>159</v>
      </c>
      <c r="G142" s="7">
        <v>54</v>
      </c>
      <c r="H142" s="7">
        <v>84</v>
      </c>
      <c r="I142" s="8">
        <f t="shared" si="24"/>
        <v>63</v>
      </c>
      <c r="J142" s="7">
        <v>79.4</v>
      </c>
      <c r="K142" s="7">
        <f t="shared" si="25"/>
        <v>69.56</v>
      </c>
    </row>
    <row r="143" ht="14.25" spans="1:11">
      <c r="A143" s="7">
        <v>141</v>
      </c>
      <c r="B143" s="7" t="s">
        <v>147</v>
      </c>
      <c r="C143" s="7" t="str">
        <f t="shared" si="28"/>
        <v>20</v>
      </c>
      <c r="D143" s="7" t="str">
        <f>"23"</f>
        <v>23</v>
      </c>
      <c r="E143" s="7" t="str">
        <f>"20210092023"</f>
        <v>20210092023</v>
      </c>
      <c r="F143" s="7" t="s">
        <v>160</v>
      </c>
      <c r="G143" s="7">
        <v>70</v>
      </c>
      <c r="H143" s="7">
        <v>71</v>
      </c>
      <c r="I143" s="8">
        <f t="shared" si="24"/>
        <v>70.3</v>
      </c>
      <c r="J143" s="7">
        <v>68.4</v>
      </c>
      <c r="K143" s="7">
        <f t="shared" si="25"/>
        <v>69.54</v>
      </c>
    </row>
    <row r="144" ht="14.25" spans="1:11">
      <c r="A144" s="7">
        <v>142</v>
      </c>
      <c r="B144" s="7" t="s">
        <v>147</v>
      </c>
      <c r="C144" s="7" t="str">
        <f t="shared" si="29"/>
        <v>21</v>
      </c>
      <c r="D144" s="7" t="str">
        <f>"09"</f>
        <v>09</v>
      </c>
      <c r="E144" s="7" t="str">
        <f>"20210092109"</f>
        <v>20210092109</v>
      </c>
      <c r="F144" s="7" t="s">
        <v>161</v>
      </c>
      <c r="G144" s="7">
        <v>62</v>
      </c>
      <c r="H144" s="7">
        <v>77</v>
      </c>
      <c r="I144" s="8">
        <f t="shared" si="24"/>
        <v>66.5</v>
      </c>
      <c r="J144" s="7">
        <v>71.8</v>
      </c>
      <c r="K144" s="7">
        <f t="shared" si="25"/>
        <v>68.62</v>
      </c>
    </row>
    <row r="145" ht="14.25" spans="1:11">
      <c r="A145" s="7">
        <v>143</v>
      </c>
      <c r="B145" s="7" t="s">
        <v>147</v>
      </c>
      <c r="C145" s="7" t="str">
        <f>"20"</f>
        <v>20</v>
      </c>
      <c r="D145" s="7" t="str">
        <f>"27"</f>
        <v>27</v>
      </c>
      <c r="E145" s="7" t="str">
        <f>"20210092027"</f>
        <v>20210092027</v>
      </c>
      <c r="F145" s="7" t="s">
        <v>162</v>
      </c>
      <c r="G145" s="7">
        <v>56</v>
      </c>
      <c r="H145" s="7">
        <v>68</v>
      </c>
      <c r="I145" s="8">
        <f t="shared" si="24"/>
        <v>59.6</v>
      </c>
      <c r="J145" s="7">
        <v>82</v>
      </c>
      <c r="K145" s="7">
        <f t="shared" si="25"/>
        <v>68.56</v>
      </c>
    </row>
    <row r="146" ht="14.25" spans="1:11">
      <c r="A146" s="7">
        <v>144</v>
      </c>
      <c r="B146" s="7" t="s">
        <v>147</v>
      </c>
      <c r="C146" s="7" t="str">
        <f t="shared" si="29"/>
        <v>21</v>
      </c>
      <c r="D146" s="7" t="str">
        <f>"01"</f>
        <v>01</v>
      </c>
      <c r="E146" s="7" t="str">
        <f>"20210092101"</f>
        <v>20210092101</v>
      </c>
      <c r="F146" s="7" t="s">
        <v>163</v>
      </c>
      <c r="G146" s="7">
        <v>60</v>
      </c>
      <c r="H146" s="7">
        <v>65</v>
      </c>
      <c r="I146" s="8">
        <f t="shared" si="24"/>
        <v>61.5</v>
      </c>
      <c r="J146" s="7">
        <v>78.2</v>
      </c>
      <c r="K146" s="7">
        <f t="shared" si="25"/>
        <v>68.18</v>
      </c>
    </row>
    <row r="147" ht="14.25" spans="1:11">
      <c r="A147" s="7">
        <v>145</v>
      </c>
      <c r="B147" s="7" t="s">
        <v>164</v>
      </c>
      <c r="C147" s="7" t="str">
        <f>"22"</f>
        <v>22</v>
      </c>
      <c r="D147" s="7" t="str">
        <f>"23"</f>
        <v>23</v>
      </c>
      <c r="E147" s="7" t="str">
        <f>"20210102223"</f>
        <v>20210102223</v>
      </c>
      <c r="F147" s="7" t="s">
        <v>165</v>
      </c>
      <c r="G147" s="7">
        <v>82</v>
      </c>
      <c r="H147" s="7">
        <v>90</v>
      </c>
      <c r="I147" s="8">
        <f t="shared" si="24"/>
        <v>84.4</v>
      </c>
      <c r="J147" s="7">
        <v>76.9</v>
      </c>
      <c r="K147" s="7">
        <f t="shared" si="25"/>
        <v>81.4</v>
      </c>
    </row>
    <row r="148" ht="14.25" spans="1:11">
      <c r="A148" s="7">
        <v>146</v>
      </c>
      <c r="B148" s="7" t="s">
        <v>164</v>
      </c>
      <c r="C148" s="7" t="str">
        <f t="shared" ref="C148:C150" si="30">"23"</f>
        <v>23</v>
      </c>
      <c r="D148" s="7" t="str">
        <f>"17"</f>
        <v>17</v>
      </c>
      <c r="E148" s="7" t="str">
        <f>"20210102317"</f>
        <v>20210102317</v>
      </c>
      <c r="F148" s="7" t="s">
        <v>166</v>
      </c>
      <c r="G148" s="7">
        <v>72</v>
      </c>
      <c r="H148" s="7">
        <v>81</v>
      </c>
      <c r="I148" s="8">
        <f t="shared" si="24"/>
        <v>74.7</v>
      </c>
      <c r="J148" s="7">
        <v>87.9</v>
      </c>
      <c r="K148" s="7">
        <f t="shared" si="25"/>
        <v>79.98</v>
      </c>
    </row>
    <row r="149" ht="14.25" spans="1:11">
      <c r="A149" s="7">
        <v>147</v>
      </c>
      <c r="B149" s="7" t="s">
        <v>164</v>
      </c>
      <c r="C149" s="7" t="str">
        <f t="shared" si="30"/>
        <v>23</v>
      </c>
      <c r="D149" s="7" t="str">
        <f>"27"</f>
        <v>27</v>
      </c>
      <c r="E149" s="7" t="str">
        <f>"20210102327"</f>
        <v>20210102327</v>
      </c>
      <c r="F149" s="7" t="s">
        <v>167</v>
      </c>
      <c r="G149" s="7">
        <v>76</v>
      </c>
      <c r="H149" s="7">
        <v>77</v>
      </c>
      <c r="I149" s="8">
        <f t="shared" si="24"/>
        <v>76.3</v>
      </c>
      <c r="J149" s="7">
        <v>85</v>
      </c>
      <c r="K149" s="7">
        <f t="shared" si="25"/>
        <v>79.78</v>
      </c>
    </row>
    <row r="150" ht="14.25" spans="1:11">
      <c r="A150" s="7">
        <v>148</v>
      </c>
      <c r="B150" s="7" t="s">
        <v>164</v>
      </c>
      <c r="C150" s="7" t="str">
        <f t="shared" si="30"/>
        <v>23</v>
      </c>
      <c r="D150" s="7" t="str">
        <f>"18"</f>
        <v>18</v>
      </c>
      <c r="E150" s="7" t="str">
        <f>"20210102318"</f>
        <v>20210102318</v>
      </c>
      <c r="F150" s="7" t="s">
        <v>168</v>
      </c>
      <c r="G150" s="7">
        <v>71.5</v>
      </c>
      <c r="H150" s="7">
        <v>89</v>
      </c>
      <c r="I150" s="8">
        <f t="shared" si="24"/>
        <v>76.75</v>
      </c>
      <c r="J150" s="7">
        <v>81.4</v>
      </c>
      <c r="K150" s="7">
        <f t="shared" si="25"/>
        <v>78.61</v>
      </c>
    </row>
    <row r="151" ht="14.25" spans="1:11">
      <c r="A151" s="7">
        <v>149</v>
      </c>
      <c r="B151" s="7" t="s">
        <v>164</v>
      </c>
      <c r="C151" s="7" t="str">
        <f t="shared" ref="C151:C155" si="31">"21"</f>
        <v>21</v>
      </c>
      <c r="D151" s="7" t="str">
        <f>"17"</f>
        <v>17</v>
      </c>
      <c r="E151" s="7" t="str">
        <f>"20210102117"</f>
        <v>20210102117</v>
      </c>
      <c r="F151" s="7" t="s">
        <v>169</v>
      </c>
      <c r="G151" s="7">
        <v>68</v>
      </c>
      <c r="H151" s="7">
        <v>90</v>
      </c>
      <c r="I151" s="8">
        <f t="shared" si="24"/>
        <v>74.6</v>
      </c>
      <c r="J151" s="7">
        <v>84.4</v>
      </c>
      <c r="K151" s="7">
        <f t="shared" si="25"/>
        <v>78.52</v>
      </c>
    </row>
    <row r="152" ht="14.25" spans="1:11">
      <c r="A152" s="7">
        <v>150</v>
      </c>
      <c r="B152" s="7" t="s">
        <v>164</v>
      </c>
      <c r="C152" s="7" t="str">
        <f t="shared" ref="C152:C157" si="32">"23"</f>
        <v>23</v>
      </c>
      <c r="D152" s="7" t="str">
        <f>"06"</f>
        <v>06</v>
      </c>
      <c r="E152" s="7" t="str">
        <f>"20210102306"</f>
        <v>20210102306</v>
      </c>
      <c r="F152" s="7" t="s">
        <v>170</v>
      </c>
      <c r="G152" s="7">
        <v>72</v>
      </c>
      <c r="H152" s="7">
        <v>70</v>
      </c>
      <c r="I152" s="8">
        <f t="shared" si="24"/>
        <v>71.4</v>
      </c>
      <c r="J152" s="7">
        <v>89.1</v>
      </c>
      <c r="K152" s="7">
        <f t="shared" si="25"/>
        <v>78.48</v>
      </c>
    </row>
    <row r="153" ht="14.25" spans="1:11">
      <c r="A153" s="7">
        <v>151</v>
      </c>
      <c r="B153" s="7" t="s">
        <v>164</v>
      </c>
      <c r="C153" s="7" t="str">
        <f>"22"</f>
        <v>22</v>
      </c>
      <c r="D153" s="7" t="str">
        <f>"30"</f>
        <v>30</v>
      </c>
      <c r="E153" s="7" t="str">
        <f>"20210102230"</f>
        <v>20210102230</v>
      </c>
      <c r="F153" s="7" t="s">
        <v>171</v>
      </c>
      <c r="G153" s="7">
        <v>69</v>
      </c>
      <c r="H153" s="7">
        <v>77</v>
      </c>
      <c r="I153" s="8">
        <f t="shared" si="24"/>
        <v>71.4</v>
      </c>
      <c r="J153" s="7">
        <v>85.7</v>
      </c>
      <c r="K153" s="7">
        <f t="shared" si="25"/>
        <v>77.12</v>
      </c>
    </row>
    <row r="154" ht="14.25" spans="1:11">
      <c r="A154" s="7">
        <v>152</v>
      </c>
      <c r="B154" s="7" t="s">
        <v>164</v>
      </c>
      <c r="C154" s="7" t="str">
        <f t="shared" si="31"/>
        <v>21</v>
      </c>
      <c r="D154" s="7" t="str">
        <f>"29"</f>
        <v>29</v>
      </c>
      <c r="E154" s="7" t="str">
        <f>"20210102129"</f>
        <v>20210102129</v>
      </c>
      <c r="F154" s="7" t="s">
        <v>172</v>
      </c>
      <c r="G154" s="7">
        <v>70</v>
      </c>
      <c r="H154" s="7">
        <v>78</v>
      </c>
      <c r="I154" s="8">
        <f t="shared" si="24"/>
        <v>72.4</v>
      </c>
      <c r="J154" s="7">
        <v>81.2</v>
      </c>
      <c r="K154" s="7">
        <f t="shared" si="25"/>
        <v>75.92</v>
      </c>
    </row>
    <row r="155" ht="14.25" spans="1:11">
      <c r="A155" s="7">
        <v>153</v>
      </c>
      <c r="B155" s="7" t="s">
        <v>164</v>
      </c>
      <c r="C155" s="7" t="str">
        <f t="shared" si="31"/>
        <v>21</v>
      </c>
      <c r="D155" s="7" t="str">
        <f>"16"</f>
        <v>16</v>
      </c>
      <c r="E155" s="7" t="str">
        <f>"20210102116"</f>
        <v>20210102116</v>
      </c>
      <c r="F155" s="7" t="s">
        <v>173</v>
      </c>
      <c r="G155" s="7">
        <v>74</v>
      </c>
      <c r="H155" s="7">
        <v>75</v>
      </c>
      <c r="I155" s="8">
        <f t="shared" si="24"/>
        <v>74.3</v>
      </c>
      <c r="J155" s="7">
        <v>78.1</v>
      </c>
      <c r="K155" s="7">
        <f t="shared" si="25"/>
        <v>75.82</v>
      </c>
    </row>
    <row r="156" ht="14.25" spans="1:11">
      <c r="A156" s="7">
        <v>154</v>
      </c>
      <c r="B156" s="7" t="s">
        <v>164</v>
      </c>
      <c r="C156" s="7" t="str">
        <f t="shared" si="32"/>
        <v>23</v>
      </c>
      <c r="D156" s="7" t="str">
        <f>"14"</f>
        <v>14</v>
      </c>
      <c r="E156" s="7" t="str">
        <f>"20210102314"</f>
        <v>20210102314</v>
      </c>
      <c r="F156" s="7" t="s">
        <v>174</v>
      </c>
      <c r="G156" s="7">
        <v>70</v>
      </c>
      <c r="H156" s="7">
        <v>79</v>
      </c>
      <c r="I156" s="8">
        <f t="shared" si="24"/>
        <v>72.7</v>
      </c>
      <c r="J156" s="7">
        <v>79.8</v>
      </c>
      <c r="K156" s="7">
        <f t="shared" si="25"/>
        <v>75.54</v>
      </c>
    </row>
    <row r="157" ht="14.25" spans="1:11">
      <c r="A157" s="7">
        <v>155</v>
      </c>
      <c r="B157" s="7" t="s">
        <v>164</v>
      </c>
      <c r="C157" s="7" t="str">
        <f t="shared" si="32"/>
        <v>23</v>
      </c>
      <c r="D157" s="7" t="str">
        <f>"23"</f>
        <v>23</v>
      </c>
      <c r="E157" s="7" t="str">
        <f>"20210102323"</f>
        <v>20210102323</v>
      </c>
      <c r="F157" s="7" t="s">
        <v>175</v>
      </c>
      <c r="G157" s="7">
        <v>70</v>
      </c>
      <c r="H157" s="7">
        <v>88</v>
      </c>
      <c r="I157" s="8">
        <f t="shared" si="24"/>
        <v>75.4</v>
      </c>
      <c r="J157" s="7">
        <v>71.8</v>
      </c>
      <c r="K157" s="7">
        <f t="shared" si="25"/>
        <v>73.96</v>
      </c>
    </row>
    <row r="158" ht="14.25" spans="1:11">
      <c r="A158" s="7">
        <v>156</v>
      </c>
      <c r="B158" s="7" t="s">
        <v>164</v>
      </c>
      <c r="C158" s="7" t="str">
        <f>"22"</f>
        <v>22</v>
      </c>
      <c r="D158" s="7" t="str">
        <f>"04"</f>
        <v>04</v>
      </c>
      <c r="E158" s="7" t="str">
        <f>"20210102204"</f>
        <v>20210102204</v>
      </c>
      <c r="F158" s="7" t="s">
        <v>176</v>
      </c>
      <c r="G158" s="7">
        <v>69.5</v>
      </c>
      <c r="H158" s="7">
        <v>65</v>
      </c>
      <c r="I158" s="8">
        <f t="shared" si="24"/>
        <v>68.15</v>
      </c>
      <c r="J158" s="7">
        <v>80</v>
      </c>
      <c r="K158" s="7">
        <f t="shared" si="25"/>
        <v>72.89</v>
      </c>
    </row>
    <row r="159" ht="14.25" spans="1:11">
      <c r="A159" s="7">
        <v>157</v>
      </c>
      <c r="B159" s="7" t="s">
        <v>164</v>
      </c>
      <c r="C159" s="7" t="str">
        <f t="shared" ref="C159:C162" si="33">"23"</f>
        <v>23</v>
      </c>
      <c r="D159" s="7" t="str">
        <f>"25"</f>
        <v>25</v>
      </c>
      <c r="E159" s="7" t="str">
        <f>"20210102325"</f>
        <v>20210102325</v>
      </c>
      <c r="F159" s="7" t="s">
        <v>177</v>
      </c>
      <c r="G159" s="7">
        <v>63</v>
      </c>
      <c r="H159" s="7">
        <v>78</v>
      </c>
      <c r="I159" s="8">
        <f t="shared" si="24"/>
        <v>67.5</v>
      </c>
      <c r="J159" s="7">
        <v>80.1</v>
      </c>
      <c r="K159" s="7">
        <f t="shared" si="25"/>
        <v>72.54</v>
      </c>
    </row>
    <row r="160" ht="14.25" spans="1:11">
      <c r="A160" s="7">
        <v>158</v>
      </c>
      <c r="B160" s="7" t="s">
        <v>164</v>
      </c>
      <c r="C160" s="7" t="str">
        <f t="shared" si="33"/>
        <v>23</v>
      </c>
      <c r="D160" s="7" t="str">
        <f>"02"</f>
        <v>02</v>
      </c>
      <c r="E160" s="7" t="str">
        <f>"20210102302"</f>
        <v>20210102302</v>
      </c>
      <c r="F160" s="7" t="s">
        <v>178</v>
      </c>
      <c r="G160" s="7">
        <v>61.5</v>
      </c>
      <c r="H160" s="7">
        <v>77</v>
      </c>
      <c r="I160" s="8">
        <f t="shared" si="24"/>
        <v>66.15</v>
      </c>
      <c r="J160" s="7">
        <v>81.6</v>
      </c>
      <c r="K160" s="7">
        <f t="shared" si="25"/>
        <v>72.33</v>
      </c>
    </row>
    <row r="161" ht="14.25" spans="1:11">
      <c r="A161" s="7">
        <v>159</v>
      </c>
      <c r="B161" s="7" t="s">
        <v>164</v>
      </c>
      <c r="C161" s="7" t="str">
        <f>"21"</f>
        <v>21</v>
      </c>
      <c r="D161" s="7" t="str">
        <f>"18"</f>
        <v>18</v>
      </c>
      <c r="E161" s="7" t="str">
        <f>"20210102118"</f>
        <v>20210102118</v>
      </c>
      <c r="F161" s="7" t="s">
        <v>179</v>
      </c>
      <c r="G161" s="7">
        <v>65</v>
      </c>
      <c r="H161" s="7">
        <v>68</v>
      </c>
      <c r="I161" s="8">
        <f t="shared" si="24"/>
        <v>65.9</v>
      </c>
      <c r="J161" s="7">
        <v>79.1</v>
      </c>
      <c r="K161" s="7">
        <f t="shared" si="25"/>
        <v>71.18</v>
      </c>
    </row>
    <row r="162" ht="14.25" spans="1:11">
      <c r="A162" s="7">
        <v>160</v>
      </c>
      <c r="B162" s="7" t="s">
        <v>164</v>
      </c>
      <c r="C162" s="7" t="str">
        <f t="shared" si="33"/>
        <v>23</v>
      </c>
      <c r="D162" s="7" t="str">
        <f>"07"</f>
        <v>07</v>
      </c>
      <c r="E162" s="7" t="str">
        <f>"20210102307"</f>
        <v>20210102307</v>
      </c>
      <c r="F162" s="7" t="s">
        <v>180</v>
      </c>
      <c r="G162" s="7">
        <v>63</v>
      </c>
      <c r="H162" s="7">
        <v>74</v>
      </c>
      <c r="I162" s="8">
        <f t="shared" si="24"/>
        <v>66.3</v>
      </c>
      <c r="J162" s="7">
        <v>78.2</v>
      </c>
      <c r="K162" s="7">
        <f t="shared" si="25"/>
        <v>71.06</v>
      </c>
    </row>
    <row r="163" ht="14.25" spans="1:11">
      <c r="A163" s="7">
        <v>161</v>
      </c>
      <c r="B163" s="7" t="s">
        <v>181</v>
      </c>
      <c r="C163" s="7" t="str">
        <f t="shared" ref="C163:C167" si="34">"25"</f>
        <v>25</v>
      </c>
      <c r="D163" s="7" t="str">
        <f>"18"</f>
        <v>18</v>
      </c>
      <c r="E163" s="7" t="str">
        <f>"20210112518"</f>
        <v>20210112518</v>
      </c>
      <c r="F163" s="7" t="s">
        <v>182</v>
      </c>
      <c r="G163" s="7">
        <v>78</v>
      </c>
      <c r="H163" s="7">
        <v>88</v>
      </c>
      <c r="I163" s="8">
        <f t="shared" si="24"/>
        <v>81</v>
      </c>
      <c r="J163" s="7">
        <v>87.2</v>
      </c>
      <c r="K163" s="7">
        <f t="shared" si="25"/>
        <v>83.48</v>
      </c>
    </row>
    <row r="164" ht="14.25" spans="1:11">
      <c r="A164" s="7">
        <v>162</v>
      </c>
      <c r="B164" s="7" t="s">
        <v>181</v>
      </c>
      <c r="C164" s="7" t="str">
        <f>"24"</f>
        <v>24</v>
      </c>
      <c r="D164" s="7" t="str">
        <f>"22"</f>
        <v>22</v>
      </c>
      <c r="E164" s="7" t="str">
        <f>"20210112422"</f>
        <v>20210112422</v>
      </c>
      <c r="F164" s="7" t="s">
        <v>183</v>
      </c>
      <c r="G164" s="7">
        <v>78</v>
      </c>
      <c r="H164" s="7">
        <v>84</v>
      </c>
      <c r="I164" s="8">
        <f t="shared" si="24"/>
        <v>79.8</v>
      </c>
      <c r="J164" s="7">
        <v>87.8</v>
      </c>
      <c r="K164" s="7">
        <f t="shared" si="25"/>
        <v>83</v>
      </c>
    </row>
    <row r="165" ht="14.25" spans="1:11">
      <c r="A165" s="7">
        <v>163</v>
      </c>
      <c r="B165" s="7" t="s">
        <v>181</v>
      </c>
      <c r="C165" s="7" t="str">
        <f t="shared" si="34"/>
        <v>25</v>
      </c>
      <c r="D165" s="7" t="str">
        <f>"02"</f>
        <v>02</v>
      </c>
      <c r="E165" s="7" t="str">
        <f>"20210112502"</f>
        <v>20210112502</v>
      </c>
      <c r="F165" s="7" t="s">
        <v>184</v>
      </c>
      <c r="G165" s="7">
        <v>82.5</v>
      </c>
      <c r="H165" s="7">
        <v>88</v>
      </c>
      <c r="I165" s="8">
        <f t="shared" si="24"/>
        <v>84.15</v>
      </c>
      <c r="J165" s="7">
        <v>75.6</v>
      </c>
      <c r="K165" s="7">
        <f t="shared" si="25"/>
        <v>80.73</v>
      </c>
    </row>
    <row r="166" ht="14.25" spans="1:11">
      <c r="A166" s="7">
        <v>164</v>
      </c>
      <c r="B166" s="7" t="s">
        <v>181</v>
      </c>
      <c r="C166" s="7" t="str">
        <f t="shared" si="34"/>
        <v>25</v>
      </c>
      <c r="D166" s="7" t="str">
        <f>"08"</f>
        <v>08</v>
      </c>
      <c r="E166" s="7" t="str">
        <f>"20210112508"</f>
        <v>20210112508</v>
      </c>
      <c r="F166" s="7" t="s">
        <v>185</v>
      </c>
      <c r="G166" s="7">
        <v>72</v>
      </c>
      <c r="H166" s="7">
        <v>89</v>
      </c>
      <c r="I166" s="8">
        <f t="shared" si="24"/>
        <v>77.1</v>
      </c>
      <c r="J166" s="7">
        <v>85</v>
      </c>
      <c r="K166" s="7">
        <f t="shared" si="25"/>
        <v>80.26</v>
      </c>
    </row>
    <row r="167" ht="14.25" spans="1:11">
      <c r="A167" s="7">
        <v>165</v>
      </c>
      <c r="B167" s="7" t="s">
        <v>181</v>
      </c>
      <c r="C167" s="7" t="str">
        <f t="shared" si="34"/>
        <v>25</v>
      </c>
      <c r="D167" s="7" t="str">
        <f>"03"</f>
        <v>03</v>
      </c>
      <c r="E167" s="7" t="str">
        <f>"20210112503"</f>
        <v>20210112503</v>
      </c>
      <c r="F167" s="7" t="s">
        <v>186</v>
      </c>
      <c r="G167" s="7">
        <v>74</v>
      </c>
      <c r="H167" s="7">
        <v>78</v>
      </c>
      <c r="I167" s="8">
        <f t="shared" si="24"/>
        <v>75.2</v>
      </c>
      <c r="J167" s="7">
        <v>87</v>
      </c>
      <c r="K167" s="7">
        <f t="shared" si="25"/>
        <v>79.92</v>
      </c>
    </row>
    <row r="168" ht="14.25" spans="1:11">
      <c r="A168" s="7">
        <v>166</v>
      </c>
      <c r="B168" s="7" t="s">
        <v>181</v>
      </c>
      <c r="C168" s="7" t="str">
        <f t="shared" ref="C168:C172" si="35">"24"</f>
        <v>24</v>
      </c>
      <c r="D168" s="7" t="str">
        <f>"04"</f>
        <v>04</v>
      </c>
      <c r="E168" s="7" t="str">
        <f>"20210112404"</f>
        <v>20210112404</v>
      </c>
      <c r="F168" s="7" t="s">
        <v>187</v>
      </c>
      <c r="G168" s="7">
        <v>76</v>
      </c>
      <c r="H168" s="7">
        <v>79</v>
      </c>
      <c r="I168" s="8">
        <f t="shared" si="24"/>
        <v>76.9</v>
      </c>
      <c r="J168" s="7">
        <v>83.6</v>
      </c>
      <c r="K168" s="7">
        <f t="shared" si="25"/>
        <v>79.58</v>
      </c>
    </row>
    <row r="169" ht="14.25" spans="1:11">
      <c r="A169" s="7">
        <v>167</v>
      </c>
      <c r="B169" s="7" t="s">
        <v>181</v>
      </c>
      <c r="C169" s="7" t="str">
        <f>"25"</f>
        <v>25</v>
      </c>
      <c r="D169" s="7" t="str">
        <f>"26"</f>
        <v>26</v>
      </c>
      <c r="E169" s="7" t="str">
        <f>"20210112526"</f>
        <v>20210112526</v>
      </c>
      <c r="F169" s="7" t="s">
        <v>188</v>
      </c>
      <c r="G169" s="7">
        <v>78</v>
      </c>
      <c r="H169" s="7">
        <v>88</v>
      </c>
      <c r="I169" s="8">
        <f t="shared" si="24"/>
        <v>81</v>
      </c>
      <c r="J169" s="7">
        <v>75.6</v>
      </c>
      <c r="K169" s="7">
        <f t="shared" si="25"/>
        <v>78.84</v>
      </c>
    </row>
    <row r="170" ht="14.25" spans="1:11">
      <c r="A170" s="7">
        <v>168</v>
      </c>
      <c r="B170" s="7" t="s">
        <v>181</v>
      </c>
      <c r="C170" s="7" t="str">
        <f t="shared" si="35"/>
        <v>24</v>
      </c>
      <c r="D170" s="7" t="str">
        <f>"25"</f>
        <v>25</v>
      </c>
      <c r="E170" s="7" t="str">
        <f>"20210112425"</f>
        <v>20210112425</v>
      </c>
      <c r="F170" s="7" t="s">
        <v>189</v>
      </c>
      <c r="G170" s="7">
        <v>71.5</v>
      </c>
      <c r="H170" s="7">
        <v>69</v>
      </c>
      <c r="I170" s="8">
        <f t="shared" si="24"/>
        <v>70.75</v>
      </c>
      <c r="J170" s="7">
        <v>88.2</v>
      </c>
      <c r="K170" s="7">
        <f t="shared" si="25"/>
        <v>77.73</v>
      </c>
    </row>
    <row r="171" ht="14.25" spans="1:11">
      <c r="A171" s="7">
        <v>169</v>
      </c>
      <c r="B171" s="7" t="s">
        <v>181</v>
      </c>
      <c r="C171" s="7" t="str">
        <f t="shared" si="35"/>
        <v>24</v>
      </c>
      <c r="D171" s="7" t="str">
        <f>"13"</f>
        <v>13</v>
      </c>
      <c r="E171" s="7" t="str">
        <f>"20210112413"</f>
        <v>20210112413</v>
      </c>
      <c r="F171" s="7" t="s">
        <v>190</v>
      </c>
      <c r="G171" s="7">
        <v>78</v>
      </c>
      <c r="H171" s="7">
        <v>79</v>
      </c>
      <c r="I171" s="8">
        <f t="shared" si="24"/>
        <v>78.3</v>
      </c>
      <c r="J171" s="7">
        <v>76</v>
      </c>
      <c r="K171" s="7">
        <f t="shared" si="25"/>
        <v>77.38</v>
      </c>
    </row>
    <row r="172" ht="14.25" spans="1:11">
      <c r="A172" s="7">
        <v>170</v>
      </c>
      <c r="B172" s="7" t="s">
        <v>181</v>
      </c>
      <c r="C172" s="7" t="str">
        <f t="shared" si="35"/>
        <v>24</v>
      </c>
      <c r="D172" s="7" t="str">
        <f>"18"</f>
        <v>18</v>
      </c>
      <c r="E172" s="7" t="str">
        <f>"20210112418"</f>
        <v>20210112418</v>
      </c>
      <c r="F172" s="7" t="s">
        <v>191</v>
      </c>
      <c r="G172" s="7">
        <v>64</v>
      </c>
      <c r="H172" s="7">
        <v>81</v>
      </c>
      <c r="I172" s="8">
        <f t="shared" si="24"/>
        <v>69.1</v>
      </c>
      <c r="J172" s="7">
        <v>86.8</v>
      </c>
      <c r="K172" s="7">
        <f t="shared" si="25"/>
        <v>76.18</v>
      </c>
    </row>
    <row r="173" ht="14.25" spans="1:11">
      <c r="A173" s="7">
        <v>171</v>
      </c>
      <c r="B173" s="7" t="s">
        <v>181</v>
      </c>
      <c r="C173" s="7" t="str">
        <f>"26"</f>
        <v>26</v>
      </c>
      <c r="D173" s="7" t="str">
        <f>"07"</f>
        <v>07</v>
      </c>
      <c r="E173" s="7" t="str">
        <f>"20210112607"</f>
        <v>20210112607</v>
      </c>
      <c r="F173" s="7" t="s">
        <v>192</v>
      </c>
      <c r="G173" s="7">
        <v>68</v>
      </c>
      <c r="H173" s="7">
        <v>73</v>
      </c>
      <c r="I173" s="8">
        <f t="shared" si="24"/>
        <v>69.5</v>
      </c>
      <c r="J173" s="7">
        <v>85.6</v>
      </c>
      <c r="K173" s="7">
        <f t="shared" si="25"/>
        <v>75.94</v>
      </c>
    </row>
    <row r="174" ht="14.25" spans="1:11">
      <c r="A174" s="7">
        <v>172</v>
      </c>
      <c r="B174" s="7" t="s">
        <v>181</v>
      </c>
      <c r="C174" s="7" t="str">
        <f t="shared" ref="C174:C178" si="36">"25"</f>
        <v>25</v>
      </c>
      <c r="D174" s="7" t="str">
        <f>"15"</f>
        <v>15</v>
      </c>
      <c r="E174" s="7" t="str">
        <f>"20210112515"</f>
        <v>20210112515</v>
      </c>
      <c r="F174" s="7" t="s">
        <v>193</v>
      </c>
      <c r="G174" s="7">
        <v>74</v>
      </c>
      <c r="H174" s="7">
        <v>81</v>
      </c>
      <c r="I174" s="8">
        <f t="shared" si="24"/>
        <v>76.1</v>
      </c>
      <c r="J174" s="7">
        <v>75.6</v>
      </c>
      <c r="K174" s="7">
        <f t="shared" si="25"/>
        <v>75.9</v>
      </c>
    </row>
    <row r="175" ht="14.25" spans="1:11">
      <c r="A175" s="7">
        <v>173</v>
      </c>
      <c r="B175" s="7" t="s">
        <v>181</v>
      </c>
      <c r="C175" s="7" t="str">
        <f>"24"</f>
        <v>24</v>
      </c>
      <c r="D175" s="7" t="str">
        <f>"21"</f>
        <v>21</v>
      </c>
      <c r="E175" s="7" t="str">
        <f>"20210112421"</f>
        <v>20210112421</v>
      </c>
      <c r="F175" s="7" t="s">
        <v>194</v>
      </c>
      <c r="G175" s="7">
        <v>69.5</v>
      </c>
      <c r="H175" s="7">
        <v>75</v>
      </c>
      <c r="I175" s="8">
        <f t="shared" si="24"/>
        <v>71.15</v>
      </c>
      <c r="J175" s="7">
        <v>80.8</v>
      </c>
      <c r="K175" s="7">
        <f t="shared" si="25"/>
        <v>75.01</v>
      </c>
    </row>
    <row r="176" ht="14.25" spans="1:11">
      <c r="A176" s="7">
        <v>174</v>
      </c>
      <c r="B176" s="7" t="s">
        <v>181</v>
      </c>
      <c r="C176" s="7" t="str">
        <f>"24"</f>
        <v>24</v>
      </c>
      <c r="D176" s="7" t="str">
        <f>"24"</f>
        <v>24</v>
      </c>
      <c r="E176" s="7" t="str">
        <f>"20210112424"</f>
        <v>20210112424</v>
      </c>
      <c r="F176" s="7" t="s">
        <v>195</v>
      </c>
      <c r="G176" s="7">
        <v>70.5</v>
      </c>
      <c r="H176" s="7">
        <v>76</v>
      </c>
      <c r="I176" s="8">
        <f t="shared" si="24"/>
        <v>72.15</v>
      </c>
      <c r="J176" s="7">
        <v>78.6</v>
      </c>
      <c r="K176" s="7">
        <f t="shared" si="25"/>
        <v>74.73</v>
      </c>
    </row>
    <row r="177" ht="14.25" spans="1:11">
      <c r="A177" s="7">
        <v>175</v>
      </c>
      <c r="B177" s="7" t="s">
        <v>181</v>
      </c>
      <c r="C177" s="7" t="str">
        <f t="shared" si="36"/>
        <v>25</v>
      </c>
      <c r="D177" s="7" t="str">
        <f>"05"</f>
        <v>05</v>
      </c>
      <c r="E177" s="7" t="str">
        <f>"20210112505"</f>
        <v>20210112505</v>
      </c>
      <c r="F177" s="7" t="s">
        <v>196</v>
      </c>
      <c r="G177" s="7">
        <v>66</v>
      </c>
      <c r="H177" s="7">
        <v>83</v>
      </c>
      <c r="I177" s="8">
        <f t="shared" si="24"/>
        <v>71.1</v>
      </c>
      <c r="J177" s="7">
        <v>79</v>
      </c>
      <c r="K177" s="7">
        <f t="shared" si="25"/>
        <v>74.26</v>
      </c>
    </row>
    <row r="178" ht="14.25" spans="1:11">
      <c r="A178" s="7">
        <v>176</v>
      </c>
      <c r="B178" s="7" t="s">
        <v>181</v>
      </c>
      <c r="C178" s="7" t="str">
        <f t="shared" si="36"/>
        <v>25</v>
      </c>
      <c r="D178" s="7" t="str">
        <f>"17"</f>
        <v>17</v>
      </c>
      <c r="E178" s="7" t="str">
        <f>"20210112517"</f>
        <v>20210112517</v>
      </c>
      <c r="F178" s="7" t="s">
        <v>197</v>
      </c>
      <c r="G178" s="7">
        <v>74</v>
      </c>
      <c r="H178" s="7">
        <v>82</v>
      </c>
      <c r="I178" s="8">
        <f t="shared" si="24"/>
        <v>76.4</v>
      </c>
      <c r="J178" s="7">
        <v>70.8</v>
      </c>
      <c r="K178" s="7">
        <f t="shared" si="25"/>
        <v>74.16</v>
      </c>
    </row>
    <row r="179" ht="14.25" spans="1:11">
      <c r="A179" s="7">
        <v>177</v>
      </c>
      <c r="B179" s="7" t="s">
        <v>198</v>
      </c>
      <c r="C179" s="7" t="str">
        <f>"28"</f>
        <v>28</v>
      </c>
      <c r="D179" s="7" t="str">
        <f>"02"</f>
        <v>02</v>
      </c>
      <c r="E179" s="7" t="str">
        <f>"20210122802"</f>
        <v>20210122802</v>
      </c>
      <c r="F179" s="7" t="s">
        <v>199</v>
      </c>
      <c r="G179" s="7">
        <v>69</v>
      </c>
      <c r="H179" s="7">
        <v>86</v>
      </c>
      <c r="I179" s="8">
        <f t="shared" si="24"/>
        <v>74.1</v>
      </c>
      <c r="J179" s="7">
        <v>76.6</v>
      </c>
      <c r="K179" s="7">
        <f t="shared" si="25"/>
        <v>75.1</v>
      </c>
    </row>
    <row r="180" ht="14.25" spans="1:11">
      <c r="A180" s="7">
        <v>178</v>
      </c>
      <c r="B180" s="7" t="s">
        <v>198</v>
      </c>
      <c r="C180" s="7" t="str">
        <f t="shared" ref="C180:C183" si="37">"27"</f>
        <v>27</v>
      </c>
      <c r="D180" s="7" t="str">
        <f>"03"</f>
        <v>03</v>
      </c>
      <c r="E180" s="7" t="str">
        <f>"20210122703"</f>
        <v>20210122703</v>
      </c>
      <c r="F180" s="7" t="s">
        <v>200</v>
      </c>
      <c r="G180" s="7">
        <v>77</v>
      </c>
      <c r="H180" s="7">
        <v>84</v>
      </c>
      <c r="I180" s="8">
        <f t="shared" si="24"/>
        <v>79.1</v>
      </c>
      <c r="J180" s="7">
        <v>66</v>
      </c>
      <c r="K180" s="7">
        <f t="shared" si="25"/>
        <v>73.86</v>
      </c>
    </row>
    <row r="181" ht="14.25" spans="1:11">
      <c r="A181" s="7">
        <v>179</v>
      </c>
      <c r="B181" s="7" t="s">
        <v>198</v>
      </c>
      <c r="C181" s="7" t="str">
        <f t="shared" si="37"/>
        <v>27</v>
      </c>
      <c r="D181" s="7" t="str">
        <f>"15"</f>
        <v>15</v>
      </c>
      <c r="E181" s="7" t="str">
        <f>"20210122715"</f>
        <v>20210122715</v>
      </c>
      <c r="F181" s="7" t="s">
        <v>201</v>
      </c>
      <c r="G181" s="7">
        <v>62</v>
      </c>
      <c r="H181" s="7">
        <v>70</v>
      </c>
      <c r="I181" s="8">
        <f t="shared" si="24"/>
        <v>64.4</v>
      </c>
      <c r="J181" s="7">
        <v>81.8</v>
      </c>
      <c r="K181" s="7">
        <f t="shared" si="25"/>
        <v>71.36</v>
      </c>
    </row>
    <row r="182" ht="14.25" spans="1:11">
      <c r="A182" s="7">
        <v>180</v>
      </c>
      <c r="B182" s="7" t="s">
        <v>198</v>
      </c>
      <c r="C182" s="7" t="str">
        <f t="shared" ref="C182:C185" si="38">"26"</f>
        <v>26</v>
      </c>
      <c r="D182" s="7" t="str">
        <f>"12"</f>
        <v>12</v>
      </c>
      <c r="E182" s="7" t="str">
        <f>"20210122612"</f>
        <v>20210122612</v>
      </c>
      <c r="F182" s="7" t="s">
        <v>202</v>
      </c>
      <c r="G182" s="7">
        <v>66</v>
      </c>
      <c r="H182" s="7">
        <v>78</v>
      </c>
      <c r="I182" s="8">
        <f t="shared" si="24"/>
        <v>69.6</v>
      </c>
      <c r="J182" s="7">
        <v>73.8</v>
      </c>
      <c r="K182" s="7">
        <f t="shared" si="25"/>
        <v>71.28</v>
      </c>
    </row>
    <row r="183" ht="14.25" spans="1:11">
      <c r="A183" s="7">
        <v>181</v>
      </c>
      <c r="B183" s="7" t="s">
        <v>198</v>
      </c>
      <c r="C183" s="7" t="str">
        <f t="shared" si="37"/>
        <v>27</v>
      </c>
      <c r="D183" s="7" t="str">
        <f>"07"</f>
        <v>07</v>
      </c>
      <c r="E183" s="7" t="str">
        <f>"20210122707"</f>
        <v>20210122707</v>
      </c>
      <c r="F183" s="7" t="s">
        <v>203</v>
      </c>
      <c r="G183" s="7">
        <v>62</v>
      </c>
      <c r="H183" s="7">
        <v>73</v>
      </c>
      <c r="I183" s="8">
        <f t="shared" si="24"/>
        <v>65.3</v>
      </c>
      <c r="J183" s="7">
        <v>79.2</v>
      </c>
      <c r="K183" s="7">
        <f t="shared" si="25"/>
        <v>70.86</v>
      </c>
    </row>
    <row r="184" ht="14.25" spans="1:11">
      <c r="A184" s="7">
        <v>182</v>
      </c>
      <c r="B184" s="7" t="s">
        <v>198</v>
      </c>
      <c r="C184" s="7" t="str">
        <f t="shared" si="38"/>
        <v>26</v>
      </c>
      <c r="D184" s="7" t="str">
        <f>"16"</f>
        <v>16</v>
      </c>
      <c r="E184" s="7" t="str">
        <f>"20210122616"</f>
        <v>20210122616</v>
      </c>
      <c r="F184" s="7" t="s">
        <v>204</v>
      </c>
      <c r="G184" s="7">
        <v>56</v>
      </c>
      <c r="H184" s="7">
        <v>75</v>
      </c>
      <c r="I184" s="8">
        <f t="shared" si="24"/>
        <v>61.7</v>
      </c>
      <c r="J184" s="7">
        <v>81.8</v>
      </c>
      <c r="K184" s="7">
        <f t="shared" si="25"/>
        <v>69.74</v>
      </c>
    </row>
    <row r="185" ht="14.25" spans="1:11">
      <c r="A185" s="7">
        <v>183</v>
      </c>
      <c r="B185" s="7" t="s">
        <v>198</v>
      </c>
      <c r="C185" s="7" t="str">
        <f t="shared" si="38"/>
        <v>26</v>
      </c>
      <c r="D185" s="7" t="str">
        <f>"29"</f>
        <v>29</v>
      </c>
      <c r="E185" s="7" t="str">
        <f>"20210122629"</f>
        <v>20210122629</v>
      </c>
      <c r="F185" s="7" t="s">
        <v>205</v>
      </c>
      <c r="G185" s="7">
        <v>60</v>
      </c>
      <c r="H185" s="7">
        <v>81</v>
      </c>
      <c r="I185" s="8">
        <f t="shared" si="24"/>
        <v>66.3</v>
      </c>
      <c r="J185" s="7">
        <v>74.6</v>
      </c>
      <c r="K185" s="7">
        <f t="shared" si="25"/>
        <v>69.62</v>
      </c>
    </row>
    <row r="186" ht="14.25" spans="1:11">
      <c r="A186" s="7">
        <v>184</v>
      </c>
      <c r="B186" s="7" t="s">
        <v>198</v>
      </c>
      <c r="C186" s="7" t="str">
        <f t="shared" ref="C186:C190" si="39">"27"</f>
        <v>27</v>
      </c>
      <c r="D186" s="7" t="str">
        <f>"13"</f>
        <v>13</v>
      </c>
      <c r="E186" s="7" t="str">
        <f>"20210122713"</f>
        <v>20210122713</v>
      </c>
      <c r="F186" s="7" t="s">
        <v>206</v>
      </c>
      <c r="G186" s="7">
        <v>62</v>
      </c>
      <c r="H186" s="7">
        <v>63</v>
      </c>
      <c r="I186" s="8">
        <f t="shared" si="24"/>
        <v>62.3</v>
      </c>
      <c r="J186" s="7">
        <v>79.6</v>
      </c>
      <c r="K186" s="7">
        <f t="shared" si="25"/>
        <v>69.22</v>
      </c>
    </row>
    <row r="187" ht="14.25" spans="1:11">
      <c r="A187" s="7">
        <v>185</v>
      </c>
      <c r="B187" s="7" t="s">
        <v>198</v>
      </c>
      <c r="C187" s="7" t="str">
        <f t="shared" si="39"/>
        <v>27</v>
      </c>
      <c r="D187" s="7" t="str">
        <f>"02"</f>
        <v>02</v>
      </c>
      <c r="E187" s="7" t="str">
        <f>"20210122702"</f>
        <v>20210122702</v>
      </c>
      <c r="F187" s="7" t="s">
        <v>207</v>
      </c>
      <c r="G187" s="7">
        <v>56</v>
      </c>
      <c r="H187" s="7">
        <v>66</v>
      </c>
      <c r="I187" s="8">
        <f t="shared" si="24"/>
        <v>59</v>
      </c>
      <c r="J187" s="7">
        <v>83.6</v>
      </c>
      <c r="K187" s="7">
        <f t="shared" si="25"/>
        <v>68.84</v>
      </c>
    </row>
    <row r="188" ht="14.25" spans="1:11">
      <c r="A188" s="7">
        <v>186</v>
      </c>
      <c r="B188" s="7" t="s">
        <v>198</v>
      </c>
      <c r="C188" s="7" t="str">
        <f t="shared" ref="C188:C192" si="40">"26"</f>
        <v>26</v>
      </c>
      <c r="D188" s="7" t="str">
        <f>"25"</f>
        <v>25</v>
      </c>
      <c r="E188" s="7" t="str">
        <f>"20210122625"</f>
        <v>20210122625</v>
      </c>
      <c r="F188" s="7" t="s">
        <v>208</v>
      </c>
      <c r="G188" s="7">
        <v>61</v>
      </c>
      <c r="H188" s="7">
        <v>54</v>
      </c>
      <c r="I188" s="8">
        <f t="shared" si="24"/>
        <v>58.9</v>
      </c>
      <c r="J188" s="7">
        <v>83.6</v>
      </c>
      <c r="K188" s="7">
        <f t="shared" si="25"/>
        <v>68.78</v>
      </c>
    </row>
    <row r="189" ht="14.25" spans="1:11">
      <c r="A189" s="7">
        <v>187</v>
      </c>
      <c r="B189" s="7" t="s">
        <v>198</v>
      </c>
      <c r="C189" s="7" t="str">
        <f t="shared" si="40"/>
        <v>26</v>
      </c>
      <c r="D189" s="7" t="str">
        <f>"22"</f>
        <v>22</v>
      </c>
      <c r="E189" s="7" t="str">
        <f>"20210122622"</f>
        <v>20210122622</v>
      </c>
      <c r="F189" s="7" t="s">
        <v>209</v>
      </c>
      <c r="G189" s="7">
        <v>60</v>
      </c>
      <c r="H189" s="7">
        <v>61</v>
      </c>
      <c r="I189" s="8">
        <f t="shared" si="24"/>
        <v>60.3</v>
      </c>
      <c r="J189" s="7">
        <v>81</v>
      </c>
      <c r="K189" s="7">
        <f t="shared" si="25"/>
        <v>68.58</v>
      </c>
    </row>
    <row r="190" ht="14.25" spans="1:11">
      <c r="A190" s="7">
        <v>188</v>
      </c>
      <c r="B190" s="7" t="s">
        <v>198</v>
      </c>
      <c r="C190" s="7" t="str">
        <f t="shared" si="39"/>
        <v>27</v>
      </c>
      <c r="D190" s="7" t="str">
        <f>"26"</f>
        <v>26</v>
      </c>
      <c r="E190" s="7" t="str">
        <f>"20210122726"</f>
        <v>20210122726</v>
      </c>
      <c r="F190" s="7" t="s">
        <v>210</v>
      </c>
      <c r="G190" s="7">
        <v>63</v>
      </c>
      <c r="H190" s="7">
        <v>73</v>
      </c>
      <c r="I190" s="8">
        <f t="shared" si="24"/>
        <v>66</v>
      </c>
      <c r="J190" s="7">
        <v>71.6</v>
      </c>
      <c r="K190" s="7">
        <f t="shared" si="25"/>
        <v>68.24</v>
      </c>
    </row>
    <row r="191" ht="14.25" spans="1:11">
      <c r="A191" s="7">
        <v>189</v>
      </c>
      <c r="B191" s="7" t="s">
        <v>198</v>
      </c>
      <c r="C191" s="7" t="str">
        <f t="shared" ref="C191:C196" si="41">"28"</f>
        <v>28</v>
      </c>
      <c r="D191" s="7" t="str">
        <f>"04"</f>
        <v>04</v>
      </c>
      <c r="E191" s="7" t="str">
        <f>"20210122804"</f>
        <v>20210122804</v>
      </c>
      <c r="F191" s="7" t="s">
        <v>211</v>
      </c>
      <c r="G191" s="7">
        <v>56.5</v>
      </c>
      <c r="H191" s="7">
        <v>56</v>
      </c>
      <c r="I191" s="8">
        <f t="shared" si="24"/>
        <v>56.35</v>
      </c>
      <c r="J191" s="7">
        <v>83.6</v>
      </c>
      <c r="K191" s="7">
        <f t="shared" si="25"/>
        <v>67.25</v>
      </c>
    </row>
    <row r="192" ht="14.25" spans="1:11">
      <c r="A192" s="7">
        <v>190</v>
      </c>
      <c r="B192" s="7" t="s">
        <v>198</v>
      </c>
      <c r="C192" s="7" t="str">
        <f t="shared" si="40"/>
        <v>26</v>
      </c>
      <c r="D192" s="7" t="str">
        <f>"17"</f>
        <v>17</v>
      </c>
      <c r="E192" s="7" t="str">
        <f>"20210122617"</f>
        <v>20210122617</v>
      </c>
      <c r="F192" s="7" t="s">
        <v>212</v>
      </c>
      <c r="G192" s="7">
        <v>59.5</v>
      </c>
      <c r="H192" s="7">
        <v>75</v>
      </c>
      <c r="I192" s="8">
        <f t="shared" si="24"/>
        <v>64.15</v>
      </c>
      <c r="J192" s="7">
        <v>71.8</v>
      </c>
      <c r="K192" s="7">
        <f t="shared" si="25"/>
        <v>67.21</v>
      </c>
    </row>
    <row r="193" ht="14.25" spans="1:11">
      <c r="A193" s="7">
        <v>191</v>
      </c>
      <c r="B193" s="7" t="s">
        <v>198</v>
      </c>
      <c r="C193" s="7" t="str">
        <f>"27"</f>
        <v>27</v>
      </c>
      <c r="D193" s="7" t="str">
        <f>"17"</f>
        <v>17</v>
      </c>
      <c r="E193" s="7" t="str">
        <f>"20210122717"</f>
        <v>20210122717</v>
      </c>
      <c r="F193" s="7" t="s">
        <v>213</v>
      </c>
      <c r="G193" s="7">
        <v>59</v>
      </c>
      <c r="H193" s="7">
        <v>86</v>
      </c>
      <c r="I193" s="8">
        <f t="shared" si="24"/>
        <v>67.1</v>
      </c>
      <c r="J193" s="7">
        <v>67.2</v>
      </c>
      <c r="K193" s="7">
        <f t="shared" si="25"/>
        <v>67.14</v>
      </c>
    </row>
    <row r="194" ht="14.25" spans="1:11">
      <c r="A194" s="7">
        <v>192</v>
      </c>
      <c r="B194" s="7" t="s">
        <v>198</v>
      </c>
      <c r="C194" s="7" t="str">
        <f>"26"</f>
        <v>26</v>
      </c>
      <c r="D194" s="7" t="str">
        <f>"28"</f>
        <v>28</v>
      </c>
      <c r="E194" s="7" t="str">
        <f>"20210122628"</f>
        <v>20210122628</v>
      </c>
      <c r="F194" s="7" t="s">
        <v>214</v>
      </c>
      <c r="G194" s="7">
        <v>52</v>
      </c>
      <c r="H194" s="7">
        <v>65</v>
      </c>
      <c r="I194" s="8">
        <f t="shared" si="24"/>
        <v>55.9</v>
      </c>
      <c r="J194" s="7">
        <v>81.4</v>
      </c>
      <c r="K194" s="7">
        <f t="shared" si="25"/>
        <v>66.1</v>
      </c>
    </row>
    <row r="195" ht="14.25" spans="1:11">
      <c r="A195" s="7">
        <v>193</v>
      </c>
      <c r="B195" s="7" t="s">
        <v>215</v>
      </c>
      <c r="C195" s="7" t="str">
        <f t="shared" si="41"/>
        <v>28</v>
      </c>
      <c r="D195" s="7" t="str">
        <f>"28"</f>
        <v>28</v>
      </c>
      <c r="E195" s="7" t="str">
        <f>"20210132828"</f>
        <v>20210132828</v>
      </c>
      <c r="F195" s="7" t="s">
        <v>216</v>
      </c>
      <c r="G195" s="7">
        <v>75</v>
      </c>
      <c r="H195" s="7">
        <v>85</v>
      </c>
      <c r="I195" s="8">
        <f t="shared" ref="I195:I258" si="42">G195*0.7+H195*0.3</f>
        <v>78</v>
      </c>
      <c r="J195" s="7">
        <v>77.2</v>
      </c>
      <c r="K195" s="7">
        <f t="shared" ref="K195:K258" si="43">I195*0.6+J195*0.4</f>
        <v>77.68</v>
      </c>
    </row>
    <row r="196" ht="14.25" spans="1:11">
      <c r="A196" s="7">
        <v>194</v>
      </c>
      <c r="B196" s="7" t="s">
        <v>215</v>
      </c>
      <c r="C196" s="7" t="str">
        <f t="shared" si="41"/>
        <v>28</v>
      </c>
      <c r="D196" s="7" t="str">
        <f>"16"</f>
        <v>16</v>
      </c>
      <c r="E196" s="7" t="str">
        <f>"20210132816"</f>
        <v>20210132816</v>
      </c>
      <c r="F196" s="7" t="s">
        <v>217</v>
      </c>
      <c r="G196" s="7">
        <v>70.5</v>
      </c>
      <c r="H196" s="7">
        <v>76</v>
      </c>
      <c r="I196" s="8">
        <f t="shared" si="42"/>
        <v>72.15</v>
      </c>
      <c r="J196" s="7">
        <v>85.6</v>
      </c>
      <c r="K196" s="7">
        <f t="shared" si="43"/>
        <v>77.53</v>
      </c>
    </row>
    <row r="197" ht="14.25" spans="1:11">
      <c r="A197" s="7">
        <v>195</v>
      </c>
      <c r="B197" s="7" t="s">
        <v>215</v>
      </c>
      <c r="C197" s="7" t="str">
        <f t="shared" ref="C197:C200" si="44">"29"</f>
        <v>29</v>
      </c>
      <c r="D197" s="7" t="str">
        <f>"27"</f>
        <v>27</v>
      </c>
      <c r="E197" s="7" t="str">
        <f>"20210132927"</f>
        <v>20210132927</v>
      </c>
      <c r="F197" s="7" t="s">
        <v>218</v>
      </c>
      <c r="G197" s="7">
        <v>69.5</v>
      </c>
      <c r="H197" s="7">
        <v>76</v>
      </c>
      <c r="I197" s="8">
        <f t="shared" si="42"/>
        <v>71.45</v>
      </c>
      <c r="J197" s="7">
        <v>85.4</v>
      </c>
      <c r="K197" s="7">
        <f t="shared" si="43"/>
        <v>77.03</v>
      </c>
    </row>
    <row r="198" ht="14.25" spans="1:11">
      <c r="A198" s="7">
        <v>196</v>
      </c>
      <c r="B198" s="7" t="s">
        <v>215</v>
      </c>
      <c r="C198" s="7" t="str">
        <f t="shared" si="44"/>
        <v>29</v>
      </c>
      <c r="D198" s="7" t="str">
        <f>"26"</f>
        <v>26</v>
      </c>
      <c r="E198" s="7" t="str">
        <f>"20210132926"</f>
        <v>20210132926</v>
      </c>
      <c r="F198" s="7" t="s">
        <v>219</v>
      </c>
      <c r="G198" s="7">
        <v>79</v>
      </c>
      <c r="H198" s="7">
        <v>66</v>
      </c>
      <c r="I198" s="8">
        <f t="shared" si="42"/>
        <v>75.1</v>
      </c>
      <c r="J198" s="7">
        <v>78.4</v>
      </c>
      <c r="K198" s="7">
        <f t="shared" si="43"/>
        <v>76.42</v>
      </c>
    </row>
    <row r="199" ht="14.25" spans="1:11">
      <c r="A199" s="7">
        <v>197</v>
      </c>
      <c r="B199" s="7" t="s">
        <v>215</v>
      </c>
      <c r="C199" s="7" t="str">
        <f t="shared" si="44"/>
        <v>29</v>
      </c>
      <c r="D199" s="7" t="str">
        <f>"05"</f>
        <v>05</v>
      </c>
      <c r="E199" s="7" t="str">
        <f>"20210132905"</f>
        <v>20210132905</v>
      </c>
      <c r="F199" s="7" t="s">
        <v>220</v>
      </c>
      <c r="G199" s="7">
        <v>82</v>
      </c>
      <c r="H199" s="7">
        <v>61</v>
      </c>
      <c r="I199" s="8">
        <f t="shared" si="42"/>
        <v>75.7</v>
      </c>
      <c r="J199" s="7">
        <v>76</v>
      </c>
      <c r="K199" s="7">
        <f t="shared" si="43"/>
        <v>75.82</v>
      </c>
    </row>
    <row r="200" ht="14.25" spans="1:11">
      <c r="A200" s="7">
        <v>198</v>
      </c>
      <c r="B200" s="7" t="s">
        <v>215</v>
      </c>
      <c r="C200" s="7" t="str">
        <f t="shared" si="44"/>
        <v>29</v>
      </c>
      <c r="D200" s="7" t="str">
        <f>"11"</f>
        <v>11</v>
      </c>
      <c r="E200" s="7" t="str">
        <f>"20210132911"</f>
        <v>20210132911</v>
      </c>
      <c r="F200" s="7" t="s">
        <v>221</v>
      </c>
      <c r="G200" s="7">
        <v>73.5</v>
      </c>
      <c r="H200" s="7">
        <v>74</v>
      </c>
      <c r="I200" s="8">
        <f t="shared" si="42"/>
        <v>73.65</v>
      </c>
      <c r="J200" s="7">
        <v>79</v>
      </c>
      <c r="K200" s="7">
        <f t="shared" si="43"/>
        <v>75.79</v>
      </c>
    </row>
    <row r="201" ht="14.25" spans="1:11">
      <c r="A201" s="7">
        <v>199</v>
      </c>
      <c r="B201" s="7" t="s">
        <v>215</v>
      </c>
      <c r="C201" s="7" t="str">
        <f>"30"</f>
        <v>30</v>
      </c>
      <c r="D201" s="7" t="str">
        <f>"01"</f>
        <v>01</v>
      </c>
      <c r="E201" s="7" t="str">
        <f>"20210133001"</f>
        <v>20210133001</v>
      </c>
      <c r="F201" s="7" t="s">
        <v>222</v>
      </c>
      <c r="G201" s="7">
        <v>65</v>
      </c>
      <c r="H201" s="7">
        <v>77</v>
      </c>
      <c r="I201" s="8">
        <f t="shared" si="42"/>
        <v>68.6</v>
      </c>
      <c r="J201" s="7">
        <v>86.2</v>
      </c>
      <c r="K201" s="7">
        <f t="shared" si="43"/>
        <v>75.64</v>
      </c>
    </row>
    <row r="202" ht="14.25" spans="1:11">
      <c r="A202" s="7">
        <v>200</v>
      </c>
      <c r="B202" s="7" t="s">
        <v>215</v>
      </c>
      <c r="C202" s="7" t="str">
        <f t="shared" ref="C202:C208" si="45">"29"</f>
        <v>29</v>
      </c>
      <c r="D202" s="7" t="str">
        <f>"04"</f>
        <v>04</v>
      </c>
      <c r="E202" s="7" t="str">
        <f>"20210132904"</f>
        <v>20210132904</v>
      </c>
      <c r="F202" s="7" t="s">
        <v>223</v>
      </c>
      <c r="G202" s="7">
        <v>73</v>
      </c>
      <c r="H202" s="7">
        <v>76</v>
      </c>
      <c r="I202" s="8">
        <f t="shared" si="42"/>
        <v>73.9</v>
      </c>
      <c r="J202" s="7">
        <v>78.2</v>
      </c>
      <c r="K202" s="7">
        <f t="shared" si="43"/>
        <v>75.62</v>
      </c>
    </row>
    <row r="203" ht="14.25" spans="1:11">
      <c r="A203" s="7">
        <v>201</v>
      </c>
      <c r="B203" s="7" t="s">
        <v>215</v>
      </c>
      <c r="C203" s="7" t="str">
        <f t="shared" ref="C203:C205" si="46">"28"</f>
        <v>28</v>
      </c>
      <c r="D203" s="7" t="str">
        <f>"08"</f>
        <v>08</v>
      </c>
      <c r="E203" s="7" t="str">
        <f>"20210132808"</f>
        <v>20210132808</v>
      </c>
      <c r="F203" s="7" t="s">
        <v>224</v>
      </c>
      <c r="G203" s="7">
        <v>78</v>
      </c>
      <c r="H203" s="7">
        <v>77</v>
      </c>
      <c r="I203" s="8">
        <f t="shared" si="42"/>
        <v>77.7</v>
      </c>
      <c r="J203" s="7">
        <v>70.8</v>
      </c>
      <c r="K203" s="7">
        <f t="shared" si="43"/>
        <v>74.94</v>
      </c>
    </row>
    <row r="204" ht="14.25" spans="1:11">
      <c r="A204" s="7">
        <v>202</v>
      </c>
      <c r="B204" s="7" t="s">
        <v>215</v>
      </c>
      <c r="C204" s="7" t="str">
        <f t="shared" si="46"/>
        <v>28</v>
      </c>
      <c r="D204" s="7" t="str">
        <f>"20"</f>
        <v>20</v>
      </c>
      <c r="E204" s="7" t="str">
        <f>"20210132820"</f>
        <v>20210132820</v>
      </c>
      <c r="F204" s="7" t="s">
        <v>225</v>
      </c>
      <c r="G204" s="7">
        <v>74</v>
      </c>
      <c r="H204" s="7">
        <v>75</v>
      </c>
      <c r="I204" s="8">
        <f t="shared" si="42"/>
        <v>74.3</v>
      </c>
      <c r="J204" s="7">
        <v>75.2</v>
      </c>
      <c r="K204" s="7">
        <f t="shared" si="43"/>
        <v>74.66</v>
      </c>
    </row>
    <row r="205" ht="14.25" spans="1:11">
      <c r="A205" s="7">
        <v>203</v>
      </c>
      <c r="B205" s="7" t="s">
        <v>215</v>
      </c>
      <c r="C205" s="7" t="str">
        <f t="shared" si="46"/>
        <v>28</v>
      </c>
      <c r="D205" s="7" t="str">
        <f>"21"</f>
        <v>21</v>
      </c>
      <c r="E205" s="7" t="str">
        <f>"20210132821"</f>
        <v>20210132821</v>
      </c>
      <c r="F205" s="7" t="s">
        <v>226</v>
      </c>
      <c r="G205" s="7">
        <v>72</v>
      </c>
      <c r="H205" s="7">
        <v>84</v>
      </c>
      <c r="I205" s="8">
        <f t="shared" si="42"/>
        <v>75.6</v>
      </c>
      <c r="J205" s="7">
        <v>73.2</v>
      </c>
      <c r="K205" s="7">
        <f t="shared" si="43"/>
        <v>74.64</v>
      </c>
    </row>
    <row r="206" ht="14.25" spans="1:11">
      <c r="A206" s="7">
        <v>204</v>
      </c>
      <c r="B206" s="7" t="s">
        <v>215</v>
      </c>
      <c r="C206" s="7" t="str">
        <f t="shared" si="45"/>
        <v>29</v>
      </c>
      <c r="D206" s="7" t="str">
        <f>"28"</f>
        <v>28</v>
      </c>
      <c r="E206" s="7" t="str">
        <f>"20210132928"</f>
        <v>20210132928</v>
      </c>
      <c r="F206" s="7" t="s">
        <v>227</v>
      </c>
      <c r="G206" s="7">
        <v>73</v>
      </c>
      <c r="H206" s="7">
        <v>72</v>
      </c>
      <c r="I206" s="8">
        <f t="shared" si="42"/>
        <v>72.7</v>
      </c>
      <c r="J206" s="7">
        <v>77.4</v>
      </c>
      <c r="K206" s="7">
        <f t="shared" si="43"/>
        <v>74.58</v>
      </c>
    </row>
    <row r="207" ht="14.25" spans="1:11">
      <c r="A207" s="7">
        <v>205</v>
      </c>
      <c r="B207" s="7" t="s">
        <v>215</v>
      </c>
      <c r="C207" s="7" t="str">
        <f t="shared" si="45"/>
        <v>29</v>
      </c>
      <c r="D207" s="7" t="str">
        <f>"24"</f>
        <v>24</v>
      </c>
      <c r="E207" s="7" t="str">
        <f>"20210132924"</f>
        <v>20210132924</v>
      </c>
      <c r="F207" s="7" t="s">
        <v>228</v>
      </c>
      <c r="G207" s="7">
        <v>76</v>
      </c>
      <c r="H207" s="7">
        <v>73</v>
      </c>
      <c r="I207" s="8">
        <f t="shared" si="42"/>
        <v>75.1</v>
      </c>
      <c r="J207" s="7">
        <v>70.6</v>
      </c>
      <c r="K207" s="7">
        <f t="shared" si="43"/>
        <v>73.3</v>
      </c>
    </row>
    <row r="208" ht="14.25" spans="1:11">
      <c r="A208" s="7">
        <v>206</v>
      </c>
      <c r="B208" s="7" t="s">
        <v>215</v>
      </c>
      <c r="C208" s="7" t="str">
        <f t="shared" si="45"/>
        <v>29</v>
      </c>
      <c r="D208" s="7" t="str">
        <f>"06"</f>
        <v>06</v>
      </c>
      <c r="E208" s="7" t="str">
        <f>"20210132906"</f>
        <v>20210132906</v>
      </c>
      <c r="F208" s="7" t="s">
        <v>229</v>
      </c>
      <c r="G208" s="7">
        <v>67.5</v>
      </c>
      <c r="H208" s="7">
        <v>68</v>
      </c>
      <c r="I208" s="8">
        <f t="shared" si="42"/>
        <v>67.65</v>
      </c>
      <c r="J208" s="7">
        <v>80.8</v>
      </c>
      <c r="K208" s="7">
        <f t="shared" si="43"/>
        <v>72.91</v>
      </c>
    </row>
    <row r="209" ht="14.25" spans="1:11">
      <c r="A209" s="7">
        <v>207</v>
      </c>
      <c r="B209" s="7" t="s">
        <v>215</v>
      </c>
      <c r="C209" s="7" t="str">
        <f>"30"</f>
        <v>30</v>
      </c>
      <c r="D209" s="7" t="str">
        <f>"04"</f>
        <v>04</v>
      </c>
      <c r="E209" s="7" t="str">
        <f>"20210133004"</f>
        <v>20210133004</v>
      </c>
      <c r="F209" s="7" t="s">
        <v>230</v>
      </c>
      <c r="G209" s="7">
        <v>74</v>
      </c>
      <c r="H209" s="7">
        <v>61</v>
      </c>
      <c r="I209" s="8">
        <f t="shared" si="42"/>
        <v>70.1</v>
      </c>
      <c r="J209" s="7">
        <v>75.6</v>
      </c>
      <c r="K209" s="7">
        <f t="shared" si="43"/>
        <v>72.3</v>
      </c>
    </row>
    <row r="210" ht="14.25" spans="1:11">
      <c r="A210" s="7">
        <v>208</v>
      </c>
      <c r="B210" s="7" t="s">
        <v>215</v>
      </c>
      <c r="C210" s="7" t="str">
        <f>"28"</f>
        <v>28</v>
      </c>
      <c r="D210" s="7" t="str">
        <f>"17"</f>
        <v>17</v>
      </c>
      <c r="E210" s="7" t="str">
        <f>"20210132817"</f>
        <v>20210132817</v>
      </c>
      <c r="F210" s="7" t="s">
        <v>231</v>
      </c>
      <c r="G210" s="7">
        <v>71</v>
      </c>
      <c r="H210" s="7">
        <v>75</v>
      </c>
      <c r="I210" s="8">
        <f t="shared" si="42"/>
        <v>72.2</v>
      </c>
      <c r="J210" s="7">
        <v>72.2</v>
      </c>
      <c r="K210" s="7">
        <f t="shared" si="43"/>
        <v>72.2</v>
      </c>
    </row>
    <row r="211" ht="14.25" spans="1:11">
      <c r="A211" s="7">
        <v>209</v>
      </c>
      <c r="B211" s="7" t="s">
        <v>232</v>
      </c>
      <c r="C211" s="7" t="str">
        <f t="shared" ref="C211:C215" si="47">"31"</f>
        <v>31</v>
      </c>
      <c r="D211" s="7" t="str">
        <f>"23"</f>
        <v>23</v>
      </c>
      <c r="E211" s="7" t="str">
        <f>"20210143123"</f>
        <v>20210143123</v>
      </c>
      <c r="F211" s="7" t="s">
        <v>233</v>
      </c>
      <c r="G211" s="7">
        <v>74</v>
      </c>
      <c r="H211" s="7">
        <v>84</v>
      </c>
      <c r="I211" s="8">
        <f t="shared" si="42"/>
        <v>77</v>
      </c>
      <c r="J211" s="7">
        <v>80.2</v>
      </c>
      <c r="K211" s="7">
        <f t="shared" si="43"/>
        <v>78.28</v>
      </c>
    </row>
    <row r="212" ht="14.25" spans="1:11">
      <c r="A212" s="7">
        <v>210</v>
      </c>
      <c r="B212" s="7" t="s">
        <v>232</v>
      </c>
      <c r="C212" s="7" t="str">
        <f t="shared" si="47"/>
        <v>31</v>
      </c>
      <c r="D212" s="7" t="str">
        <f>"24"</f>
        <v>24</v>
      </c>
      <c r="E212" s="7" t="str">
        <f>"20210143124"</f>
        <v>20210143124</v>
      </c>
      <c r="F212" s="7" t="s">
        <v>234</v>
      </c>
      <c r="G212" s="7">
        <v>71</v>
      </c>
      <c r="H212" s="7">
        <v>85</v>
      </c>
      <c r="I212" s="8">
        <f t="shared" si="42"/>
        <v>75.2</v>
      </c>
      <c r="J212" s="7">
        <v>81.7</v>
      </c>
      <c r="K212" s="7">
        <f t="shared" si="43"/>
        <v>77.8</v>
      </c>
    </row>
    <row r="213" ht="14.25" spans="1:11">
      <c r="A213" s="7">
        <v>211</v>
      </c>
      <c r="B213" s="7" t="s">
        <v>232</v>
      </c>
      <c r="C213" s="7" t="str">
        <f>"30"</f>
        <v>30</v>
      </c>
      <c r="D213" s="7" t="str">
        <f>"16"</f>
        <v>16</v>
      </c>
      <c r="E213" s="7" t="str">
        <f>"20210143016"</f>
        <v>20210143016</v>
      </c>
      <c r="F213" s="7" t="s">
        <v>235</v>
      </c>
      <c r="G213" s="7">
        <v>71</v>
      </c>
      <c r="H213" s="7">
        <v>76</v>
      </c>
      <c r="I213" s="8">
        <f t="shared" si="42"/>
        <v>72.5</v>
      </c>
      <c r="J213" s="7">
        <v>84.2</v>
      </c>
      <c r="K213" s="7">
        <f t="shared" si="43"/>
        <v>77.18</v>
      </c>
    </row>
    <row r="214" ht="14.25" spans="1:11">
      <c r="A214" s="7">
        <v>212</v>
      </c>
      <c r="B214" s="7" t="s">
        <v>232</v>
      </c>
      <c r="C214" s="7" t="str">
        <f t="shared" ref="C214:C219" si="48">"32"</f>
        <v>32</v>
      </c>
      <c r="D214" s="7" t="str">
        <f>"15"</f>
        <v>15</v>
      </c>
      <c r="E214" s="7" t="str">
        <f>"20210143215"</f>
        <v>20210143215</v>
      </c>
      <c r="F214" s="7" t="s">
        <v>236</v>
      </c>
      <c r="G214" s="7">
        <v>75</v>
      </c>
      <c r="H214" s="7">
        <v>77</v>
      </c>
      <c r="I214" s="8">
        <f t="shared" si="42"/>
        <v>75.6</v>
      </c>
      <c r="J214" s="7">
        <v>79.3</v>
      </c>
      <c r="K214" s="7">
        <f t="shared" si="43"/>
        <v>77.08</v>
      </c>
    </row>
    <row r="215" ht="14.25" spans="1:11">
      <c r="A215" s="7">
        <v>213</v>
      </c>
      <c r="B215" s="7" t="s">
        <v>232</v>
      </c>
      <c r="C215" s="7" t="str">
        <f t="shared" si="47"/>
        <v>31</v>
      </c>
      <c r="D215" s="7" t="str">
        <f>"20"</f>
        <v>20</v>
      </c>
      <c r="E215" s="7" t="str">
        <f>"20210143120"</f>
        <v>20210143120</v>
      </c>
      <c r="F215" s="7" t="s">
        <v>237</v>
      </c>
      <c r="G215" s="7">
        <v>69.5</v>
      </c>
      <c r="H215" s="7">
        <v>80</v>
      </c>
      <c r="I215" s="8">
        <f t="shared" si="42"/>
        <v>72.65</v>
      </c>
      <c r="J215" s="7">
        <v>81.2</v>
      </c>
      <c r="K215" s="7">
        <f t="shared" si="43"/>
        <v>76.07</v>
      </c>
    </row>
    <row r="216" ht="14.25" spans="1:11">
      <c r="A216" s="7">
        <v>214</v>
      </c>
      <c r="B216" s="7" t="s">
        <v>232</v>
      </c>
      <c r="C216" s="7" t="str">
        <f t="shared" si="48"/>
        <v>32</v>
      </c>
      <c r="D216" s="7" t="str">
        <f>"20"</f>
        <v>20</v>
      </c>
      <c r="E216" s="7" t="str">
        <f>"20210143220"</f>
        <v>20210143220</v>
      </c>
      <c r="F216" s="7" t="s">
        <v>238</v>
      </c>
      <c r="G216" s="7">
        <v>63</v>
      </c>
      <c r="H216" s="7">
        <v>82</v>
      </c>
      <c r="I216" s="8">
        <f t="shared" si="42"/>
        <v>68.7</v>
      </c>
      <c r="J216" s="7">
        <v>86.8</v>
      </c>
      <c r="K216" s="7">
        <f t="shared" si="43"/>
        <v>75.94</v>
      </c>
    </row>
    <row r="217" ht="14.25" spans="1:11">
      <c r="A217" s="7">
        <v>215</v>
      </c>
      <c r="B217" s="7" t="s">
        <v>232</v>
      </c>
      <c r="C217" s="7" t="str">
        <f t="shared" ref="C217:C223" si="49">"31"</f>
        <v>31</v>
      </c>
      <c r="D217" s="7" t="str">
        <f>"21"</f>
        <v>21</v>
      </c>
      <c r="E217" s="7" t="str">
        <f>"20210143121"</f>
        <v>20210143121</v>
      </c>
      <c r="F217" s="7" t="s">
        <v>239</v>
      </c>
      <c r="G217" s="7">
        <v>65</v>
      </c>
      <c r="H217" s="7">
        <v>78</v>
      </c>
      <c r="I217" s="8">
        <f t="shared" si="42"/>
        <v>68.9</v>
      </c>
      <c r="J217" s="7">
        <v>84.4</v>
      </c>
      <c r="K217" s="7">
        <f t="shared" si="43"/>
        <v>75.1</v>
      </c>
    </row>
    <row r="218" ht="14.25" spans="1:11">
      <c r="A218" s="7">
        <v>216</v>
      </c>
      <c r="B218" s="7" t="s">
        <v>232</v>
      </c>
      <c r="C218" s="7" t="str">
        <f t="shared" si="49"/>
        <v>31</v>
      </c>
      <c r="D218" s="7" t="str">
        <f>"22"</f>
        <v>22</v>
      </c>
      <c r="E218" s="7" t="str">
        <f>"20210143122"</f>
        <v>20210143122</v>
      </c>
      <c r="F218" s="7" t="s">
        <v>240</v>
      </c>
      <c r="G218" s="7">
        <v>67</v>
      </c>
      <c r="H218" s="7">
        <v>84</v>
      </c>
      <c r="I218" s="8">
        <f t="shared" si="42"/>
        <v>72.1</v>
      </c>
      <c r="J218" s="7">
        <v>77.4</v>
      </c>
      <c r="K218" s="7">
        <f t="shared" si="43"/>
        <v>74.22</v>
      </c>
    </row>
    <row r="219" ht="14.25" spans="1:11">
      <c r="A219" s="7">
        <v>217</v>
      </c>
      <c r="B219" s="7" t="s">
        <v>232</v>
      </c>
      <c r="C219" s="7" t="str">
        <f t="shared" si="48"/>
        <v>32</v>
      </c>
      <c r="D219" s="7" t="str">
        <f>"18"</f>
        <v>18</v>
      </c>
      <c r="E219" s="7" t="str">
        <f>"20210143218"</f>
        <v>20210143218</v>
      </c>
      <c r="F219" s="7" t="s">
        <v>241</v>
      </c>
      <c r="G219" s="7">
        <v>62</v>
      </c>
      <c r="H219" s="7">
        <v>86</v>
      </c>
      <c r="I219" s="8">
        <f t="shared" si="42"/>
        <v>69.2</v>
      </c>
      <c r="J219" s="7">
        <v>80.1</v>
      </c>
      <c r="K219" s="7">
        <f t="shared" si="43"/>
        <v>73.56</v>
      </c>
    </row>
    <row r="220" ht="14.25" spans="1:11">
      <c r="A220" s="7">
        <v>218</v>
      </c>
      <c r="B220" s="7" t="s">
        <v>232</v>
      </c>
      <c r="C220" s="7" t="str">
        <f t="shared" si="49"/>
        <v>31</v>
      </c>
      <c r="D220" s="7" t="str">
        <f>"02"</f>
        <v>02</v>
      </c>
      <c r="E220" s="7" t="str">
        <f>"20210143102"</f>
        <v>20210143102</v>
      </c>
      <c r="F220" s="7" t="s">
        <v>242</v>
      </c>
      <c r="G220" s="7">
        <v>69.5</v>
      </c>
      <c r="H220" s="7">
        <v>63</v>
      </c>
      <c r="I220" s="8">
        <f t="shared" si="42"/>
        <v>67.55</v>
      </c>
      <c r="J220" s="7">
        <v>81.2</v>
      </c>
      <c r="K220" s="7">
        <f t="shared" si="43"/>
        <v>73.01</v>
      </c>
    </row>
    <row r="221" ht="14.25" spans="1:11">
      <c r="A221" s="7">
        <v>219</v>
      </c>
      <c r="B221" s="7" t="s">
        <v>232</v>
      </c>
      <c r="C221" s="7" t="str">
        <f t="shared" si="49"/>
        <v>31</v>
      </c>
      <c r="D221" s="7" t="str">
        <f>"05"</f>
        <v>05</v>
      </c>
      <c r="E221" s="7" t="str">
        <f>"20210143105"</f>
        <v>20210143105</v>
      </c>
      <c r="F221" s="7" t="s">
        <v>243</v>
      </c>
      <c r="G221" s="7">
        <v>59</v>
      </c>
      <c r="H221" s="7">
        <v>80</v>
      </c>
      <c r="I221" s="8">
        <f t="shared" si="42"/>
        <v>65.3</v>
      </c>
      <c r="J221" s="7">
        <v>82.4</v>
      </c>
      <c r="K221" s="7">
        <f t="shared" si="43"/>
        <v>72.14</v>
      </c>
    </row>
    <row r="222" ht="14.25" spans="1:11">
      <c r="A222" s="7">
        <v>220</v>
      </c>
      <c r="B222" s="7" t="s">
        <v>232</v>
      </c>
      <c r="C222" s="7" t="str">
        <f t="shared" si="49"/>
        <v>31</v>
      </c>
      <c r="D222" s="7" t="str">
        <f>"06"</f>
        <v>06</v>
      </c>
      <c r="E222" s="7" t="str">
        <f>"20210143106"</f>
        <v>20210143106</v>
      </c>
      <c r="F222" s="7" t="s">
        <v>244</v>
      </c>
      <c r="G222" s="7">
        <v>57</v>
      </c>
      <c r="H222" s="7">
        <v>74</v>
      </c>
      <c r="I222" s="8">
        <f t="shared" si="42"/>
        <v>62.1</v>
      </c>
      <c r="J222" s="7">
        <v>83.2</v>
      </c>
      <c r="K222" s="7">
        <f t="shared" si="43"/>
        <v>70.54</v>
      </c>
    </row>
    <row r="223" ht="14.25" spans="1:11">
      <c r="A223" s="7">
        <v>221</v>
      </c>
      <c r="B223" s="7" t="s">
        <v>232</v>
      </c>
      <c r="C223" s="7" t="str">
        <f t="shared" si="49"/>
        <v>31</v>
      </c>
      <c r="D223" s="7" t="str">
        <f>"19"</f>
        <v>19</v>
      </c>
      <c r="E223" s="7" t="str">
        <f>"20210143119"</f>
        <v>20210143119</v>
      </c>
      <c r="F223" s="7" t="s">
        <v>245</v>
      </c>
      <c r="G223" s="7">
        <v>61</v>
      </c>
      <c r="H223" s="7">
        <v>72</v>
      </c>
      <c r="I223" s="8">
        <f t="shared" si="42"/>
        <v>64.3</v>
      </c>
      <c r="J223" s="7">
        <v>78.3</v>
      </c>
      <c r="K223" s="7">
        <f t="shared" si="43"/>
        <v>69.9</v>
      </c>
    </row>
    <row r="224" ht="14.25" spans="1:11">
      <c r="A224" s="7">
        <v>222</v>
      </c>
      <c r="B224" s="7" t="s">
        <v>232</v>
      </c>
      <c r="C224" s="7" t="str">
        <f>"32"</f>
        <v>32</v>
      </c>
      <c r="D224" s="7" t="str">
        <f>"09"</f>
        <v>09</v>
      </c>
      <c r="E224" s="7" t="str">
        <f>"20210143209"</f>
        <v>20210143209</v>
      </c>
      <c r="F224" s="7" t="s">
        <v>246</v>
      </c>
      <c r="G224" s="7">
        <v>69.5</v>
      </c>
      <c r="H224" s="7">
        <v>76</v>
      </c>
      <c r="I224" s="8">
        <f t="shared" si="42"/>
        <v>71.45</v>
      </c>
      <c r="J224" s="7">
        <v>64.8</v>
      </c>
      <c r="K224" s="7">
        <f t="shared" si="43"/>
        <v>68.79</v>
      </c>
    </row>
    <row r="225" ht="14.25" spans="1:11">
      <c r="A225" s="7">
        <v>223</v>
      </c>
      <c r="B225" s="7" t="s">
        <v>232</v>
      </c>
      <c r="C225" s="7" t="str">
        <f>"31"</f>
        <v>31</v>
      </c>
      <c r="D225" s="7" t="str">
        <f>"26"</f>
        <v>26</v>
      </c>
      <c r="E225" s="7" t="str">
        <f>"20210143126"</f>
        <v>20210143126</v>
      </c>
      <c r="F225" s="7" t="s">
        <v>247</v>
      </c>
      <c r="G225" s="7">
        <v>69</v>
      </c>
      <c r="H225" s="7">
        <v>81</v>
      </c>
      <c r="I225" s="8">
        <f t="shared" si="42"/>
        <v>72.6</v>
      </c>
      <c r="J225" s="7">
        <v>62.9</v>
      </c>
      <c r="K225" s="7">
        <f t="shared" si="43"/>
        <v>68.72</v>
      </c>
    </row>
    <row r="226" ht="14.25" spans="1:11">
      <c r="A226" s="7">
        <v>224</v>
      </c>
      <c r="B226" s="7" t="s">
        <v>232</v>
      </c>
      <c r="C226" s="7" t="str">
        <f>"31"</f>
        <v>31</v>
      </c>
      <c r="D226" s="7" t="str">
        <f>"08"</f>
        <v>08</v>
      </c>
      <c r="E226" s="7" t="str">
        <f>"20210143108"</f>
        <v>20210143108</v>
      </c>
      <c r="F226" s="7" t="s">
        <v>248</v>
      </c>
      <c r="G226" s="7">
        <v>58</v>
      </c>
      <c r="H226" s="7">
        <v>74</v>
      </c>
      <c r="I226" s="8">
        <f t="shared" si="42"/>
        <v>62.8</v>
      </c>
      <c r="J226" s="7">
        <v>77.4</v>
      </c>
      <c r="K226" s="7">
        <f t="shared" si="43"/>
        <v>68.64</v>
      </c>
    </row>
    <row r="227" ht="14.25" spans="1:11">
      <c r="A227" s="7">
        <v>225</v>
      </c>
      <c r="B227" s="7" t="s">
        <v>249</v>
      </c>
      <c r="C227" s="7" t="str">
        <f t="shared" ref="C227:C230" si="50">"33"</f>
        <v>33</v>
      </c>
      <c r="D227" s="7" t="str">
        <f>"29"</f>
        <v>29</v>
      </c>
      <c r="E227" s="7" t="str">
        <f>"20210153329"</f>
        <v>20210153329</v>
      </c>
      <c r="F227" s="7" t="s">
        <v>250</v>
      </c>
      <c r="G227" s="7">
        <v>82</v>
      </c>
      <c r="H227" s="7">
        <v>90</v>
      </c>
      <c r="I227" s="8">
        <f t="shared" si="42"/>
        <v>84.4</v>
      </c>
      <c r="J227" s="7">
        <v>84.4</v>
      </c>
      <c r="K227" s="7">
        <f t="shared" si="43"/>
        <v>84.4</v>
      </c>
    </row>
    <row r="228" ht="14.25" spans="1:11">
      <c r="A228" s="7">
        <v>226</v>
      </c>
      <c r="B228" s="7" t="s">
        <v>249</v>
      </c>
      <c r="C228" s="7" t="str">
        <f t="shared" si="50"/>
        <v>33</v>
      </c>
      <c r="D228" s="7" t="str">
        <f>"14"</f>
        <v>14</v>
      </c>
      <c r="E228" s="7" t="str">
        <f>"20210153314"</f>
        <v>20210153314</v>
      </c>
      <c r="F228" s="7" t="s">
        <v>251</v>
      </c>
      <c r="G228" s="7">
        <v>83</v>
      </c>
      <c r="H228" s="7">
        <v>85</v>
      </c>
      <c r="I228" s="8">
        <f t="shared" si="42"/>
        <v>83.6</v>
      </c>
      <c r="J228" s="7">
        <v>80.9</v>
      </c>
      <c r="K228" s="7">
        <f t="shared" si="43"/>
        <v>82.52</v>
      </c>
    </row>
    <row r="229" ht="14.25" spans="1:11">
      <c r="A229" s="7">
        <v>227</v>
      </c>
      <c r="B229" s="7" t="s">
        <v>249</v>
      </c>
      <c r="C229" s="7" t="str">
        <f t="shared" ref="C229:C234" si="51">"34"</f>
        <v>34</v>
      </c>
      <c r="D229" s="7" t="str">
        <f>"21"</f>
        <v>21</v>
      </c>
      <c r="E229" s="7" t="str">
        <f>"20210153421"</f>
        <v>20210153421</v>
      </c>
      <c r="F229" s="7" t="s">
        <v>252</v>
      </c>
      <c r="G229" s="7">
        <v>81</v>
      </c>
      <c r="H229" s="7">
        <v>77</v>
      </c>
      <c r="I229" s="8">
        <f t="shared" si="42"/>
        <v>79.8</v>
      </c>
      <c r="J229" s="7">
        <v>85.4</v>
      </c>
      <c r="K229" s="7">
        <f t="shared" si="43"/>
        <v>82.04</v>
      </c>
    </row>
    <row r="230" ht="14.25" spans="1:11">
      <c r="A230" s="7">
        <v>228</v>
      </c>
      <c r="B230" s="7" t="s">
        <v>249</v>
      </c>
      <c r="C230" s="7" t="str">
        <f t="shared" si="50"/>
        <v>33</v>
      </c>
      <c r="D230" s="7" t="str">
        <f>"07"</f>
        <v>07</v>
      </c>
      <c r="E230" s="7" t="str">
        <f>"20210153307"</f>
        <v>20210153307</v>
      </c>
      <c r="F230" s="7" t="s">
        <v>253</v>
      </c>
      <c r="G230" s="7">
        <v>89</v>
      </c>
      <c r="H230" s="7">
        <v>82</v>
      </c>
      <c r="I230" s="8">
        <f t="shared" si="42"/>
        <v>86.9</v>
      </c>
      <c r="J230" s="7">
        <v>72.6</v>
      </c>
      <c r="K230" s="7">
        <f t="shared" si="43"/>
        <v>81.18</v>
      </c>
    </row>
    <row r="231" ht="14.25" spans="1:11">
      <c r="A231" s="7">
        <v>229</v>
      </c>
      <c r="B231" s="7" t="s">
        <v>249</v>
      </c>
      <c r="C231" s="7" t="str">
        <f t="shared" si="51"/>
        <v>34</v>
      </c>
      <c r="D231" s="7" t="str">
        <f>"19"</f>
        <v>19</v>
      </c>
      <c r="E231" s="7" t="str">
        <f>"20210153419"</f>
        <v>20210153419</v>
      </c>
      <c r="F231" s="7" t="s">
        <v>254</v>
      </c>
      <c r="G231" s="7">
        <v>76</v>
      </c>
      <c r="H231" s="7">
        <v>79</v>
      </c>
      <c r="I231" s="8">
        <f t="shared" si="42"/>
        <v>76.9</v>
      </c>
      <c r="J231" s="7">
        <v>81.4</v>
      </c>
      <c r="K231" s="7">
        <f t="shared" si="43"/>
        <v>78.7</v>
      </c>
    </row>
    <row r="232" ht="14.25" spans="1:11">
      <c r="A232" s="7">
        <v>230</v>
      </c>
      <c r="B232" s="7" t="s">
        <v>249</v>
      </c>
      <c r="C232" s="7" t="str">
        <f>"33"</f>
        <v>33</v>
      </c>
      <c r="D232" s="7" t="str">
        <f>"01"</f>
        <v>01</v>
      </c>
      <c r="E232" s="7" t="str">
        <f>"20210153301"</f>
        <v>20210153301</v>
      </c>
      <c r="F232" s="7" t="s">
        <v>255</v>
      </c>
      <c r="G232" s="7">
        <v>73</v>
      </c>
      <c r="H232" s="7">
        <v>80</v>
      </c>
      <c r="I232" s="8">
        <f t="shared" si="42"/>
        <v>75.1</v>
      </c>
      <c r="J232" s="7">
        <v>82.5</v>
      </c>
      <c r="K232" s="7">
        <f t="shared" si="43"/>
        <v>78.06</v>
      </c>
    </row>
    <row r="233" ht="14.25" spans="1:11">
      <c r="A233" s="7">
        <v>231</v>
      </c>
      <c r="B233" s="7" t="s">
        <v>249</v>
      </c>
      <c r="C233" s="7" t="str">
        <f>"35"</f>
        <v>35</v>
      </c>
      <c r="D233" s="7" t="str">
        <f>"03"</f>
        <v>03</v>
      </c>
      <c r="E233" s="7" t="str">
        <f>"20210153503"</f>
        <v>20210153503</v>
      </c>
      <c r="F233" s="7" t="s">
        <v>256</v>
      </c>
      <c r="G233" s="7">
        <v>70</v>
      </c>
      <c r="H233" s="7">
        <v>76</v>
      </c>
      <c r="I233" s="8">
        <f t="shared" si="42"/>
        <v>71.8</v>
      </c>
      <c r="J233" s="7">
        <v>84.9</v>
      </c>
      <c r="K233" s="7">
        <f t="shared" si="43"/>
        <v>77.04</v>
      </c>
    </row>
    <row r="234" ht="14.25" spans="1:11">
      <c r="A234" s="7">
        <v>232</v>
      </c>
      <c r="B234" s="7" t="s">
        <v>249</v>
      </c>
      <c r="C234" s="7" t="str">
        <f t="shared" si="51"/>
        <v>34</v>
      </c>
      <c r="D234" s="7" t="str">
        <f>"13"</f>
        <v>13</v>
      </c>
      <c r="E234" s="7" t="str">
        <f>"20210153413"</f>
        <v>20210153413</v>
      </c>
      <c r="F234" s="7" t="s">
        <v>257</v>
      </c>
      <c r="G234" s="7">
        <v>79</v>
      </c>
      <c r="H234" s="7">
        <v>80</v>
      </c>
      <c r="I234" s="8">
        <f t="shared" si="42"/>
        <v>79.3</v>
      </c>
      <c r="J234" s="7">
        <v>73</v>
      </c>
      <c r="K234" s="7">
        <f t="shared" si="43"/>
        <v>76.78</v>
      </c>
    </row>
    <row r="235" ht="14.25" spans="1:11">
      <c r="A235" s="7">
        <v>233</v>
      </c>
      <c r="B235" s="7" t="s">
        <v>249</v>
      </c>
      <c r="C235" s="7" t="str">
        <f>"35"</f>
        <v>35</v>
      </c>
      <c r="D235" s="7" t="str">
        <f>"01"</f>
        <v>01</v>
      </c>
      <c r="E235" s="7" t="str">
        <f>"20210153501"</f>
        <v>20210153501</v>
      </c>
      <c r="F235" s="7" t="s">
        <v>175</v>
      </c>
      <c r="G235" s="7">
        <v>77</v>
      </c>
      <c r="H235" s="7">
        <v>86</v>
      </c>
      <c r="I235" s="8">
        <f t="shared" si="42"/>
        <v>79.7</v>
      </c>
      <c r="J235" s="7">
        <v>72.2</v>
      </c>
      <c r="K235" s="7">
        <f t="shared" si="43"/>
        <v>76.7</v>
      </c>
    </row>
    <row r="236" ht="14.25" spans="1:11">
      <c r="A236" s="7">
        <v>234</v>
      </c>
      <c r="B236" s="7" t="s">
        <v>249</v>
      </c>
      <c r="C236" s="7" t="str">
        <f t="shared" ref="C236:C238" si="52">"34"</f>
        <v>34</v>
      </c>
      <c r="D236" s="7" t="str">
        <f>"03"</f>
        <v>03</v>
      </c>
      <c r="E236" s="7" t="str">
        <f>"20210153403"</f>
        <v>20210153403</v>
      </c>
      <c r="F236" s="7" t="s">
        <v>258</v>
      </c>
      <c r="G236" s="7">
        <v>65</v>
      </c>
      <c r="H236" s="7">
        <v>73</v>
      </c>
      <c r="I236" s="8">
        <f t="shared" si="42"/>
        <v>67.4</v>
      </c>
      <c r="J236" s="7">
        <v>81.4</v>
      </c>
      <c r="K236" s="7">
        <f t="shared" si="43"/>
        <v>73</v>
      </c>
    </row>
    <row r="237" ht="14.25" spans="1:11">
      <c r="A237" s="7">
        <v>235</v>
      </c>
      <c r="B237" s="7" t="s">
        <v>249</v>
      </c>
      <c r="C237" s="7" t="str">
        <f t="shared" si="52"/>
        <v>34</v>
      </c>
      <c r="D237" s="7" t="str">
        <f>"29"</f>
        <v>29</v>
      </c>
      <c r="E237" s="7" t="str">
        <f>"20210153429"</f>
        <v>20210153429</v>
      </c>
      <c r="F237" s="7" t="s">
        <v>259</v>
      </c>
      <c r="G237" s="7">
        <v>73</v>
      </c>
      <c r="H237" s="7">
        <v>59</v>
      </c>
      <c r="I237" s="8">
        <f t="shared" si="42"/>
        <v>68.8</v>
      </c>
      <c r="J237" s="7">
        <v>78.5</v>
      </c>
      <c r="K237" s="7">
        <f t="shared" si="43"/>
        <v>72.68</v>
      </c>
    </row>
    <row r="238" ht="14.25" spans="1:11">
      <c r="A238" s="7">
        <v>236</v>
      </c>
      <c r="B238" s="7" t="s">
        <v>249</v>
      </c>
      <c r="C238" s="7" t="str">
        <f t="shared" si="52"/>
        <v>34</v>
      </c>
      <c r="D238" s="7" t="str">
        <f>"12"</f>
        <v>12</v>
      </c>
      <c r="E238" s="7" t="str">
        <f>"20210153412"</f>
        <v>20210153412</v>
      </c>
      <c r="F238" s="7" t="s">
        <v>260</v>
      </c>
      <c r="G238" s="7">
        <v>66</v>
      </c>
      <c r="H238" s="7">
        <v>76</v>
      </c>
      <c r="I238" s="8">
        <f t="shared" si="42"/>
        <v>69</v>
      </c>
      <c r="J238" s="7">
        <v>77.2</v>
      </c>
      <c r="K238" s="7">
        <f t="shared" si="43"/>
        <v>72.28</v>
      </c>
    </row>
    <row r="239" ht="14.25" spans="1:11">
      <c r="A239" s="7">
        <v>237</v>
      </c>
      <c r="B239" s="7" t="s">
        <v>249</v>
      </c>
      <c r="C239" s="7" t="str">
        <f t="shared" ref="C239:C242" si="53">"33"</f>
        <v>33</v>
      </c>
      <c r="D239" s="7" t="str">
        <f>"11"</f>
        <v>11</v>
      </c>
      <c r="E239" s="7" t="str">
        <f>"20210153311"</f>
        <v>20210153311</v>
      </c>
      <c r="F239" s="7" t="s">
        <v>261</v>
      </c>
      <c r="G239" s="7">
        <v>64</v>
      </c>
      <c r="H239" s="7">
        <v>81</v>
      </c>
      <c r="I239" s="8">
        <f t="shared" si="42"/>
        <v>69.1</v>
      </c>
      <c r="J239" s="7">
        <v>73.1</v>
      </c>
      <c r="K239" s="7">
        <f t="shared" si="43"/>
        <v>70.7</v>
      </c>
    </row>
    <row r="240" ht="14.25" spans="1:11">
      <c r="A240" s="7">
        <v>238</v>
      </c>
      <c r="B240" s="7" t="s">
        <v>249</v>
      </c>
      <c r="C240" s="7" t="str">
        <f t="shared" si="53"/>
        <v>33</v>
      </c>
      <c r="D240" s="7" t="str">
        <f>"17"</f>
        <v>17</v>
      </c>
      <c r="E240" s="7" t="str">
        <f>"20210153317"</f>
        <v>20210153317</v>
      </c>
      <c r="F240" s="7" t="s">
        <v>262</v>
      </c>
      <c r="G240" s="7">
        <v>69</v>
      </c>
      <c r="H240" s="7">
        <v>77</v>
      </c>
      <c r="I240" s="8">
        <f t="shared" si="42"/>
        <v>71.4</v>
      </c>
      <c r="J240" s="7">
        <v>69.6</v>
      </c>
      <c r="K240" s="7">
        <f t="shared" si="43"/>
        <v>70.68</v>
      </c>
    </row>
    <row r="241" ht="14.25" spans="1:11">
      <c r="A241" s="7">
        <v>239</v>
      </c>
      <c r="B241" s="7" t="s">
        <v>249</v>
      </c>
      <c r="C241" s="7" t="str">
        <f>"34"</f>
        <v>34</v>
      </c>
      <c r="D241" s="7" t="str">
        <f>"24"</f>
        <v>24</v>
      </c>
      <c r="E241" s="7" t="str">
        <f>"20210153424"</f>
        <v>20210153424</v>
      </c>
      <c r="F241" s="7" t="s">
        <v>263</v>
      </c>
      <c r="G241" s="7">
        <v>59</v>
      </c>
      <c r="H241" s="7">
        <v>65</v>
      </c>
      <c r="I241" s="8">
        <f t="shared" si="42"/>
        <v>60.8</v>
      </c>
      <c r="J241" s="7">
        <v>84.1</v>
      </c>
      <c r="K241" s="7">
        <f t="shared" si="43"/>
        <v>70.12</v>
      </c>
    </row>
    <row r="242" ht="14.25" spans="1:11">
      <c r="A242" s="7">
        <v>240</v>
      </c>
      <c r="B242" s="7" t="s">
        <v>249</v>
      </c>
      <c r="C242" s="7" t="str">
        <f t="shared" si="53"/>
        <v>33</v>
      </c>
      <c r="D242" s="7" t="str">
        <f>"22"</f>
        <v>22</v>
      </c>
      <c r="E242" s="7" t="str">
        <f>"20210153322"</f>
        <v>20210153322</v>
      </c>
      <c r="F242" s="7" t="s">
        <v>264</v>
      </c>
      <c r="G242" s="7">
        <v>69</v>
      </c>
      <c r="H242" s="7">
        <v>64</v>
      </c>
      <c r="I242" s="8">
        <f t="shared" si="42"/>
        <v>67.5</v>
      </c>
      <c r="J242" s="7">
        <v>73.7</v>
      </c>
      <c r="K242" s="7">
        <f t="shared" si="43"/>
        <v>69.98</v>
      </c>
    </row>
    <row r="243" ht="14.25" spans="1:11">
      <c r="A243" s="7">
        <v>241</v>
      </c>
      <c r="B243" s="7" t="s">
        <v>265</v>
      </c>
      <c r="C243" s="7" t="str">
        <f>"37"</f>
        <v>37</v>
      </c>
      <c r="D243" s="7" t="str">
        <f>"01"</f>
        <v>01</v>
      </c>
      <c r="E243" s="7" t="str">
        <f>"20210163701"</f>
        <v>20210163701</v>
      </c>
      <c r="F243" s="7" t="s">
        <v>266</v>
      </c>
      <c r="G243" s="7">
        <v>78</v>
      </c>
      <c r="H243" s="7">
        <v>88</v>
      </c>
      <c r="I243" s="8">
        <f t="shared" si="42"/>
        <v>81</v>
      </c>
      <c r="J243" s="7">
        <v>82.6</v>
      </c>
      <c r="K243" s="7">
        <f t="shared" si="43"/>
        <v>81.64</v>
      </c>
    </row>
    <row r="244" ht="14.25" spans="1:11">
      <c r="A244" s="7">
        <v>242</v>
      </c>
      <c r="B244" s="7" t="s">
        <v>265</v>
      </c>
      <c r="C244" s="7" t="str">
        <f t="shared" ref="C244:C248" si="54">"36"</f>
        <v>36</v>
      </c>
      <c r="D244" s="7" t="str">
        <f>"11"</f>
        <v>11</v>
      </c>
      <c r="E244" s="7" t="str">
        <f>"20210163611"</f>
        <v>20210163611</v>
      </c>
      <c r="F244" s="7" t="s">
        <v>267</v>
      </c>
      <c r="G244" s="7">
        <v>86</v>
      </c>
      <c r="H244" s="7">
        <v>82</v>
      </c>
      <c r="I244" s="8">
        <f t="shared" si="42"/>
        <v>84.8</v>
      </c>
      <c r="J244" s="7">
        <v>76.2</v>
      </c>
      <c r="K244" s="7">
        <f t="shared" si="43"/>
        <v>81.36</v>
      </c>
    </row>
    <row r="245" ht="14.25" spans="1:11">
      <c r="A245" s="7">
        <v>243</v>
      </c>
      <c r="B245" s="7" t="s">
        <v>265</v>
      </c>
      <c r="C245" s="7" t="str">
        <f t="shared" ref="C245:C249" si="55">"35"</f>
        <v>35</v>
      </c>
      <c r="D245" s="7" t="str">
        <f>"14"</f>
        <v>14</v>
      </c>
      <c r="E245" s="7" t="str">
        <f>"20210163514"</f>
        <v>20210163514</v>
      </c>
      <c r="F245" s="7" t="s">
        <v>268</v>
      </c>
      <c r="G245" s="7">
        <v>75</v>
      </c>
      <c r="H245" s="7">
        <v>88</v>
      </c>
      <c r="I245" s="8">
        <f t="shared" si="42"/>
        <v>78.9</v>
      </c>
      <c r="J245" s="7">
        <v>82.4</v>
      </c>
      <c r="K245" s="7">
        <f t="shared" si="43"/>
        <v>80.3</v>
      </c>
    </row>
    <row r="246" ht="14.25" spans="1:11">
      <c r="A246" s="7">
        <v>244</v>
      </c>
      <c r="B246" s="7" t="s">
        <v>265</v>
      </c>
      <c r="C246" s="7" t="str">
        <f t="shared" si="54"/>
        <v>36</v>
      </c>
      <c r="D246" s="7" t="str">
        <f>"07"</f>
        <v>07</v>
      </c>
      <c r="E246" s="7" t="str">
        <f>"20210163607"</f>
        <v>20210163607</v>
      </c>
      <c r="F246" s="7" t="s">
        <v>269</v>
      </c>
      <c r="G246" s="7">
        <v>71</v>
      </c>
      <c r="H246" s="7">
        <v>82</v>
      </c>
      <c r="I246" s="8">
        <f t="shared" si="42"/>
        <v>74.3</v>
      </c>
      <c r="J246" s="7">
        <v>77.9</v>
      </c>
      <c r="K246" s="7">
        <f t="shared" si="43"/>
        <v>75.74</v>
      </c>
    </row>
    <row r="247" ht="14.25" spans="1:11">
      <c r="A247" s="7">
        <v>245</v>
      </c>
      <c r="B247" s="7" t="s">
        <v>265</v>
      </c>
      <c r="C247" s="7" t="str">
        <f t="shared" si="55"/>
        <v>35</v>
      </c>
      <c r="D247" s="7" t="str">
        <f>"16"</f>
        <v>16</v>
      </c>
      <c r="E247" s="7" t="str">
        <f>"20210163516"</f>
        <v>20210163516</v>
      </c>
      <c r="F247" s="7" t="s">
        <v>270</v>
      </c>
      <c r="G247" s="7">
        <v>67</v>
      </c>
      <c r="H247" s="7">
        <v>87</v>
      </c>
      <c r="I247" s="8">
        <f t="shared" si="42"/>
        <v>73</v>
      </c>
      <c r="J247" s="7">
        <v>77.3</v>
      </c>
      <c r="K247" s="7">
        <f t="shared" si="43"/>
        <v>74.72</v>
      </c>
    </row>
    <row r="248" ht="14.25" spans="1:11">
      <c r="A248" s="7">
        <v>246</v>
      </c>
      <c r="B248" s="7" t="s">
        <v>265</v>
      </c>
      <c r="C248" s="7" t="str">
        <f t="shared" si="54"/>
        <v>36</v>
      </c>
      <c r="D248" s="7" t="str">
        <f>"06"</f>
        <v>06</v>
      </c>
      <c r="E248" s="7" t="str">
        <f>"20210163606"</f>
        <v>20210163606</v>
      </c>
      <c r="F248" s="7" t="s">
        <v>271</v>
      </c>
      <c r="G248" s="7">
        <v>69</v>
      </c>
      <c r="H248" s="7">
        <v>73</v>
      </c>
      <c r="I248" s="8">
        <f t="shared" si="42"/>
        <v>70.2</v>
      </c>
      <c r="J248" s="7">
        <v>78.8</v>
      </c>
      <c r="K248" s="7">
        <f t="shared" si="43"/>
        <v>73.64</v>
      </c>
    </row>
    <row r="249" ht="14.25" spans="1:11">
      <c r="A249" s="7">
        <v>247</v>
      </c>
      <c r="B249" s="7" t="s">
        <v>265</v>
      </c>
      <c r="C249" s="7" t="str">
        <f t="shared" si="55"/>
        <v>35</v>
      </c>
      <c r="D249" s="7" t="str">
        <f>"12"</f>
        <v>12</v>
      </c>
      <c r="E249" s="7" t="str">
        <f>"20210163512"</f>
        <v>20210163512</v>
      </c>
      <c r="F249" s="7" t="s">
        <v>272</v>
      </c>
      <c r="G249" s="7">
        <v>64</v>
      </c>
      <c r="H249" s="7">
        <v>77</v>
      </c>
      <c r="I249" s="8">
        <f t="shared" si="42"/>
        <v>67.9</v>
      </c>
      <c r="J249" s="7">
        <v>81</v>
      </c>
      <c r="K249" s="7">
        <f t="shared" si="43"/>
        <v>73.14</v>
      </c>
    </row>
    <row r="250" ht="14.25" spans="1:11">
      <c r="A250" s="7">
        <v>248</v>
      </c>
      <c r="B250" s="7" t="s">
        <v>265</v>
      </c>
      <c r="C250" s="7" t="str">
        <f t="shared" ref="C250:C252" si="56">"36"</f>
        <v>36</v>
      </c>
      <c r="D250" s="7" t="str">
        <f>"13"</f>
        <v>13</v>
      </c>
      <c r="E250" s="7" t="str">
        <f>"20210163613"</f>
        <v>20210163613</v>
      </c>
      <c r="F250" s="7" t="s">
        <v>273</v>
      </c>
      <c r="G250" s="7">
        <v>66</v>
      </c>
      <c r="H250" s="7">
        <v>81</v>
      </c>
      <c r="I250" s="8">
        <f t="shared" si="42"/>
        <v>70.5</v>
      </c>
      <c r="J250" s="7">
        <v>76.6</v>
      </c>
      <c r="K250" s="7">
        <f t="shared" si="43"/>
        <v>72.94</v>
      </c>
    </row>
    <row r="251" ht="14.25" spans="1:11">
      <c r="A251" s="7">
        <v>249</v>
      </c>
      <c r="B251" s="7" t="s">
        <v>265</v>
      </c>
      <c r="C251" s="7" t="str">
        <f t="shared" si="56"/>
        <v>36</v>
      </c>
      <c r="D251" s="7" t="str">
        <f>"10"</f>
        <v>10</v>
      </c>
      <c r="E251" s="7" t="str">
        <f>"20210163610"</f>
        <v>20210163610</v>
      </c>
      <c r="F251" s="7" t="s">
        <v>274</v>
      </c>
      <c r="G251" s="7">
        <v>73</v>
      </c>
      <c r="H251" s="7">
        <v>63</v>
      </c>
      <c r="I251" s="8">
        <f t="shared" si="42"/>
        <v>70</v>
      </c>
      <c r="J251" s="7">
        <v>76.4</v>
      </c>
      <c r="K251" s="7">
        <f t="shared" si="43"/>
        <v>72.56</v>
      </c>
    </row>
    <row r="252" ht="14.25" spans="1:11">
      <c r="A252" s="7">
        <v>250</v>
      </c>
      <c r="B252" s="7" t="s">
        <v>265</v>
      </c>
      <c r="C252" s="7" t="str">
        <f t="shared" si="56"/>
        <v>36</v>
      </c>
      <c r="D252" s="7" t="str">
        <f>"19"</f>
        <v>19</v>
      </c>
      <c r="E252" s="7" t="str">
        <f>"20210163619"</f>
        <v>20210163619</v>
      </c>
      <c r="F252" s="7" t="s">
        <v>275</v>
      </c>
      <c r="G252" s="7">
        <v>72</v>
      </c>
      <c r="H252" s="7">
        <v>68</v>
      </c>
      <c r="I252" s="8">
        <f t="shared" si="42"/>
        <v>70.8</v>
      </c>
      <c r="J252" s="7">
        <v>74.8</v>
      </c>
      <c r="K252" s="7">
        <f t="shared" si="43"/>
        <v>72.4</v>
      </c>
    </row>
    <row r="253" ht="14.25" spans="1:11">
      <c r="A253" s="7">
        <v>251</v>
      </c>
      <c r="B253" s="7" t="s">
        <v>265</v>
      </c>
      <c r="C253" s="7" t="str">
        <f t="shared" ref="C253:C256" si="57">"35"</f>
        <v>35</v>
      </c>
      <c r="D253" s="7" t="str">
        <f>"06"</f>
        <v>06</v>
      </c>
      <c r="E253" s="7" t="str">
        <f>"20210163506"</f>
        <v>20210163506</v>
      </c>
      <c r="F253" s="7" t="s">
        <v>276</v>
      </c>
      <c r="G253" s="7">
        <v>70</v>
      </c>
      <c r="H253" s="7">
        <v>71</v>
      </c>
      <c r="I253" s="8">
        <f t="shared" si="42"/>
        <v>70.3</v>
      </c>
      <c r="J253" s="7">
        <v>74.7</v>
      </c>
      <c r="K253" s="7">
        <f t="shared" si="43"/>
        <v>72.06</v>
      </c>
    </row>
    <row r="254" ht="14.25" spans="1:11">
      <c r="A254" s="7">
        <v>252</v>
      </c>
      <c r="B254" s="7" t="s">
        <v>265</v>
      </c>
      <c r="C254" s="7" t="str">
        <f t="shared" si="57"/>
        <v>35</v>
      </c>
      <c r="D254" s="7" t="str">
        <f>"08"</f>
        <v>08</v>
      </c>
      <c r="E254" s="7" t="str">
        <f>"20210163508"</f>
        <v>20210163508</v>
      </c>
      <c r="F254" s="7" t="s">
        <v>277</v>
      </c>
      <c r="G254" s="7">
        <v>63</v>
      </c>
      <c r="H254" s="7">
        <v>61</v>
      </c>
      <c r="I254" s="8">
        <f t="shared" si="42"/>
        <v>62.4</v>
      </c>
      <c r="J254" s="7">
        <v>83</v>
      </c>
      <c r="K254" s="7">
        <f t="shared" si="43"/>
        <v>70.64</v>
      </c>
    </row>
    <row r="255" ht="14.25" spans="1:11">
      <c r="A255" s="7">
        <v>253</v>
      </c>
      <c r="B255" s="7" t="s">
        <v>265</v>
      </c>
      <c r="C255" s="7" t="str">
        <f t="shared" si="57"/>
        <v>35</v>
      </c>
      <c r="D255" s="7" t="str">
        <f>"24"</f>
        <v>24</v>
      </c>
      <c r="E255" s="7" t="str">
        <f>"20210163524"</f>
        <v>20210163524</v>
      </c>
      <c r="F255" s="7" t="s">
        <v>278</v>
      </c>
      <c r="G255" s="7">
        <v>71.5</v>
      </c>
      <c r="H255" s="7">
        <v>68</v>
      </c>
      <c r="I255" s="8">
        <f t="shared" si="42"/>
        <v>70.45</v>
      </c>
      <c r="J255" s="7">
        <v>69.5</v>
      </c>
      <c r="K255" s="7">
        <f t="shared" si="43"/>
        <v>70.07</v>
      </c>
    </row>
    <row r="256" ht="14.25" spans="1:11">
      <c r="A256" s="7">
        <v>254</v>
      </c>
      <c r="B256" s="7" t="s">
        <v>265</v>
      </c>
      <c r="C256" s="7" t="str">
        <f t="shared" si="57"/>
        <v>35</v>
      </c>
      <c r="D256" s="7" t="str">
        <f>"30"</f>
        <v>30</v>
      </c>
      <c r="E256" s="7" t="str">
        <f>"20210163530"</f>
        <v>20210163530</v>
      </c>
      <c r="F256" s="7" t="s">
        <v>279</v>
      </c>
      <c r="G256" s="7">
        <v>56</v>
      </c>
      <c r="H256" s="7">
        <v>85</v>
      </c>
      <c r="I256" s="8">
        <f t="shared" si="42"/>
        <v>64.7</v>
      </c>
      <c r="J256" s="7">
        <v>76.6</v>
      </c>
      <c r="K256" s="7">
        <f t="shared" si="43"/>
        <v>69.46</v>
      </c>
    </row>
    <row r="257" ht="14.25" spans="1:11">
      <c r="A257" s="7">
        <v>255</v>
      </c>
      <c r="B257" s="7" t="s">
        <v>265</v>
      </c>
      <c r="C257" s="7" t="str">
        <f>"36"</f>
        <v>36</v>
      </c>
      <c r="D257" s="7" t="str">
        <f>"18"</f>
        <v>18</v>
      </c>
      <c r="E257" s="7" t="str">
        <f>"20210163618"</f>
        <v>20210163618</v>
      </c>
      <c r="F257" s="7" t="s">
        <v>280</v>
      </c>
      <c r="G257" s="7">
        <v>67.5</v>
      </c>
      <c r="H257" s="7">
        <v>51</v>
      </c>
      <c r="I257" s="8">
        <f t="shared" si="42"/>
        <v>62.55</v>
      </c>
      <c r="J257" s="7">
        <v>77</v>
      </c>
      <c r="K257" s="7">
        <f t="shared" si="43"/>
        <v>68.33</v>
      </c>
    </row>
    <row r="258" ht="14.25" spans="1:11">
      <c r="A258" s="7">
        <v>256</v>
      </c>
      <c r="B258" s="7" t="s">
        <v>281</v>
      </c>
      <c r="C258" s="7" t="str">
        <f t="shared" ref="C258:C260" si="58">"37"</f>
        <v>37</v>
      </c>
      <c r="D258" s="7" t="str">
        <f>"24"</f>
        <v>24</v>
      </c>
      <c r="E258" s="7" t="str">
        <f>"20210173724"</f>
        <v>20210173724</v>
      </c>
      <c r="F258" s="7" t="s">
        <v>282</v>
      </c>
      <c r="G258" s="7">
        <v>70.5</v>
      </c>
      <c r="H258" s="7">
        <v>79</v>
      </c>
      <c r="I258" s="8">
        <f t="shared" si="42"/>
        <v>73.05</v>
      </c>
      <c r="J258" s="7">
        <v>81</v>
      </c>
      <c r="K258" s="7">
        <f t="shared" si="43"/>
        <v>76.23</v>
      </c>
    </row>
    <row r="259" ht="14.25" spans="1:11">
      <c r="A259" s="7">
        <v>257</v>
      </c>
      <c r="B259" s="7" t="s">
        <v>281</v>
      </c>
      <c r="C259" s="7" t="str">
        <f t="shared" si="58"/>
        <v>37</v>
      </c>
      <c r="D259" s="7" t="str">
        <f>"26"</f>
        <v>26</v>
      </c>
      <c r="E259" s="7" t="str">
        <f>"20210173726"</f>
        <v>20210173726</v>
      </c>
      <c r="F259" s="7" t="s">
        <v>283</v>
      </c>
      <c r="G259" s="7">
        <v>64</v>
      </c>
      <c r="H259" s="7">
        <v>88</v>
      </c>
      <c r="I259" s="8">
        <f t="shared" ref="I259:I322" si="59">G259*0.7+H259*0.3</f>
        <v>71.2</v>
      </c>
      <c r="J259" s="7">
        <v>81.8</v>
      </c>
      <c r="K259" s="7">
        <f t="shared" ref="K259:K322" si="60">I259*0.6+J259*0.4</f>
        <v>75.44</v>
      </c>
    </row>
    <row r="260" ht="14.25" spans="1:11">
      <c r="A260" s="7">
        <v>258</v>
      </c>
      <c r="B260" s="7" t="s">
        <v>281</v>
      </c>
      <c r="C260" s="7" t="str">
        <f t="shared" si="58"/>
        <v>37</v>
      </c>
      <c r="D260" s="7" t="str">
        <f>"15"</f>
        <v>15</v>
      </c>
      <c r="E260" s="7" t="str">
        <f>"20210173715"</f>
        <v>20210173715</v>
      </c>
      <c r="F260" s="7" t="s">
        <v>284</v>
      </c>
      <c r="G260" s="7">
        <v>71</v>
      </c>
      <c r="H260" s="7">
        <v>69</v>
      </c>
      <c r="I260" s="8">
        <f t="shared" si="59"/>
        <v>70.4</v>
      </c>
      <c r="J260" s="7">
        <v>81.2</v>
      </c>
      <c r="K260" s="7">
        <f t="shared" si="60"/>
        <v>74.72</v>
      </c>
    </row>
    <row r="261" ht="14.25" spans="1:11">
      <c r="A261" s="7">
        <v>259</v>
      </c>
      <c r="B261" s="7" t="s">
        <v>281</v>
      </c>
      <c r="C261" s="7" t="str">
        <f t="shared" ref="C261:C264" si="61">"38"</f>
        <v>38</v>
      </c>
      <c r="D261" s="7" t="str">
        <f>"26"</f>
        <v>26</v>
      </c>
      <c r="E261" s="7" t="str">
        <f>"20210173826"</f>
        <v>20210173826</v>
      </c>
      <c r="F261" s="7" t="s">
        <v>285</v>
      </c>
      <c r="G261" s="7">
        <v>62</v>
      </c>
      <c r="H261" s="7">
        <v>80</v>
      </c>
      <c r="I261" s="8">
        <f t="shared" si="59"/>
        <v>67.4</v>
      </c>
      <c r="J261" s="7">
        <v>83.8</v>
      </c>
      <c r="K261" s="7">
        <f t="shared" si="60"/>
        <v>73.96</v>
      </c>
    </row>
    <row r="262" ht="14.25" spans="1:11">
      <c r="A262" s="7">
        <v>260</v>
      </c>
      <c r="B262" s="7" t="s">
        <v>281</v>
      </c>
      <c r="C262" s="7" t="str">
        <f t="shared" si="61"/>
        <v>38</v>
      </c>
      <c r="D262" s="7" t="str">
        <f>"16"</f>
        <v>16</v>
      </c>
      <c r="E262" s="7" t="str">
        <f>"20210173816"</f>
        <v>20210173816</v>
      </c>
      <c r="F262" s="7" t="s">
        <v>286</v>
      </c>
      <c r="G262" s="7">
        <v>71</v>
      </c>
      <c r="H262" s="7">
        <v>55</v>
      </c>
      <c r="I262" s="8">
        <f t="shared" si="59"/>
        <v>66.2</v>
      </c>
      <c r="J262" s="7">
        <v>82</v>
      </c>
      <c r="K262" s="7">
        <f t="shared" si="60"/>
        <v>72.52</v>
      </c>
    </row>
    <row r="263" ht="14.25" spans="1:11">
      <c r="A263" s="7">
        <v>261</v>
      </c>
      <c r="B263" s="7" t="s">
        <v>281</v>
      </c>
      <c r="C263" s="7" t="str">
        <f t="shared" ref="C263:C266" si="62">"37"</f>
        <v>37</v>
      </c>
      <c r="D263" s="7" t="str">
        <f>"09"</f>
        <v>09</v>
      </c>
      <c r="E263" s="7" t="str">
        <f>"20210173709"</f>
        <v>20210173709</v>
      </c>
      <c r="F263" s="7" t="s">
        <v>287</v>
      </c>
      <c r="G263" s="7">
        <v>55</v>
      </c>
      <c r="H263" s="7">
        <v>84</v>
      </c>
      <c r="I263" s="8">
        <f t="shared" si="59"/>
        <v>63.7</v>
      </c>
      <c r="J263" s="7">
        <v>84.8</v>
      </c>
      <c r="K263" s="7">
        <f t="shared" si="60"/>
        <v>72.14</v>
      </c>
    </row>
    <row r="264" ht="14.25" spans="1:11">
      <c r="A264" s="7">
        <v>262</v>
      </c>
      <c r="B264" s="7" t="s">
        <v>281</v>
      </c>
      <c r="C264" s="7" t="str">
        <f t="shared" si="61"/>
        <v>38</v>
      </c>
      <c r="D264" s="7" t="str">
        <f>"11"</f>
        <v>11</v>
      </c>
      <c r="E264" s="7" t="str">
        <f>"20210173811"</f>
        <v>20210173811</v>
      </c>
      <c r="F264" s="7" t="s">
        <v>288</v>
      </c>
      <c r="G264" s="7">
        <v>63</v>
      </c>
      <c r="H264" s="7">
        <v>77</v>
      </c>
      <c r="I264" s="8">
        <f t="shared" si="59"/>
        <v>67.2</v>
      </c>
      <c r="J264" s="7">
        <v>77.8</v>
      </c>
      <c r="K264" s="7">
        <f t="shared" si="60"/>
        <v>71.44</v>
      </c>
    </row>
    <row r="265" ht="14.25" spans="1:11">
      <c r="A265" s="7">
        <v>263</v>
      </c>
      <c r="B265" s="7" t="s">
        <v>281</v>
      </c>
      <c r="C265" s="7" t="str">
        <f t="shared" si="62"/>
        <v>37</v>
      </c>
      <c r="D265" s="7" t="str">
        <f>"22"</f>
        <v>22</v>
      </c>
      <c r="E265" s="7" t="str">
        <f>"20210173722"</f>
        <v>20210173722</v>
      </c>
      <c r="F265" s="7" t="s">
        <v>289</v>
      </c>
      <c r="G265" s="7">
        <v>53</v>
      </c>
      <c r="H265" s="7">
        <v>79</v>
      </c>
      <c r="I265" s="8">
        <f t="shared" si="59"/>
        <v>60.8</v>
      </c>
      <c r="J265" s="7">
        <v>87</v>
      </c>
      <c r="K265" s="7">
        <f t="shared" si="60"/>
        <v>71.28</v>
      </c>
    </row>
    <row r="266" ht="14.25" spans="1:11">
      <c r="A266" s="7">
        <v>264</v>
      </c>
      <c r="B266" s="7" t="s">
        <v>281</v>
      </c>
      <c r="C266" s="7" t="str">
        <f t="shared" si="62"/>
        <v>37</v>
      </c>
      <c r="D266" s="7" t="str">
        <f>"07"</f>
        <v>07</v>
      </c>
      <c r="E266" s="7" t="str">
        <f>"20210173707"</f>
        <v>20210173707</v>
      </c>
      <c r="F266" s="7" t="s">
        <v>290</v>
      </c>
      <c r="G266" s="7">
        <v>63</v>
      </c>
      <c r="H266" s="7">
        <v>75</v>
      </c>
      <c r="I266" s="8">
        <f t="shared" si="59"/>
        <v>66.6</v>
      </c>
      <c r="J266" s="7">
        <v>77.2</v>
      </c>
      <c r="K266" s="7">
        <f t="shared" si="60"/>
        <v>70.84</v>
      </c>
    </row>
    <row r="267" ht="14.25" spans="1:11">
      <c r="A267" s="7">
        <v>265</v>
      </c>
      <c r="B267" s="7" t="s">
        <v>281</v>
      </c>
      <c r="C267" s="7" t="str">
        <f t="shared" ref="C267:C271" si="63">"38"</f>
        <v>38</v>
      </c>
      <c r="D267" s="7" t="str">
        <f>"24"</f>
        <v>24</v>
      </c>
      <c r="E267" s="7" t="str">
        <f>"20210173824"</f>
        <v>20210173824</v>
      </c>
      <c r="F267" s="7" t="s">
        <v>291</v>
      </c>
      <c r="G267" s="7">
        <v>57</v>
      </c>
      <c r="H267" s="7">
        <v>92</v>
      </c>
      <c r="I267" s="8">
        <f t="shared" si="59"/>
        <v>67.5</v>
      </c>
      <c r="J267" s="7">
        <v>75.4</v>
      </c>
      <c r="K267" s="7">
        <f t="shared" si="60"/>
        <v>70.66</v>
      </c>
    </row>
    <row r="268" ht="14.25" spans="1:11">
      <c r="A268" s="7">
        <v>266</v>
      </c>
      <c r="B268" s="7" t="s">
        <v>281</v>
      </c>
      <c r="C268" s="7" t="str">
        <f t="shared" si="63"/>
        <v>38</v>
      </c>
      <c r="D268" s="7" t="str">
        <f>"08"</f>
        <v>08</v>
      </c>
      <c r="E268" s="7" t="str">
        <f>"20210173808"</f>
        <v>20210173808</v>
      </c>
      <c r="F268" s="7" t="s">
        <v>292</v>
      </c>
      <c r="G268" s="7">
        <v>61</v>
      </c>
      <c r="H268" s="7">
        <v>74</v>
      </c>
      <c r="I268" s="8">
        <f t="shared" si="59"/>
        <v>64.9</v>
      </c>
      <c r="J268" s="7">
        <v>77.2</v>
      </c>
      <c r="K268" s="7">
        <f t="shared" si="60"/>
        <v>69.82</v>
      </c>
    </row>
    <row r="269" ht="14.25" spans="1:11">
      <c r="A269" s="7">
        <v>267</v>
      </c>
      <c r="B269" s="7" t="s">
        <v>281</v>
      </c>
      <c r="C269" s="7" t="str">
        <f t="shared" ref="C269:C272" si="64">"37"</f>
        <v>37</v>
      </c>
      <c r="D269" s="7" t="str">
        <f>"27"</f>
        <v>27</v>
      </c>
      <c r="E269" s="7" t="str">
        <f>"20210173727"</f>
        <v>20210173727</v>
      </c>
      <c r="F269" s="7" t="s">
        <v>293</v>
      </c>
      <c r="G269" s="7">
        <v>59</v>
      </c>
      <c r="H269" s="7">
        <v>60</v>
      </c>
      <c r="I269" s="8">
        <f t="shared" si="59"/>
        <v>59.3</v>
      </c>
      <c r="J269" s="7">
        <v>84.6</v>
      </c>
      <c r="K269" s="7">
        <f t="shared" si="60"/>
        <v>69.42</v>
      </c>
    </row>
    <row r="270" ht="14.25" spans="1:11">
      <c r="A270" s="7">
        <v>268</v>
      </c>
      <c r="B270" s="7" t="s">
        <v>281</v>
      </c>
      <c r="C270" s="7" t="str">
        <f t="shared" si="64"/>
        <v>37</v>
      </c>
      <c r="D270" s="7" t="str">
        <f>"20"</f>
        <v>20</v>
      </c>
      <c r="E270" s="7" t="str">
        <f>"20210173720"</f>
        <v>20210173720</v>
      </c>
      <c r="F270" s="7" t="s">
        <v>294</v>
      </c>
      <c r="G270" s="7">
        <v>54</v>
      </c>
      <c r="H270" s="7">
        <v>74</v>
      </c>
      <c r="I270" s="8">
        <f t="shared" si="59"/>
        <v>60</v>
      </c>
      <c r="J270" s="7">
        <v>83.2</v>
      </c>
      <c r="K270" s="7">
        <f t="shared" si="60"/>
        <v>69.28</v>
      </c>
    </row>
    <row r="271" ht="14.25" spans="1:11">
      <c r="A271" s="7">
        <v>269</v>
      </c>
      <c r="B271" s="7" t="s">
        <v>281</v>
      </c>
      <c r="C271" s="7" t="str">
        <f t="shared" si="63"/>
        <v>38</v>
      </c>
      <c r="D271" s="7" t="str">
        <f>"13"</f>
        <v>13</v>
      </c>
      <c r="E271" s="7" t="str">
        <f>"20210173813"</f>
        <v>20210173813</v>
      </c>
      <c r="F271" s="7" t="s">
        <v>295</v>
      </c>
      <c r="G271" s="7">
        <v>62.5</v>
      </c>
      <c r="H271" s="7">
        <v>56</v>
      </c>
      <c r="I271" s="8">
        <f t="shared" si="59"/>
        <v>60.55</v>
      </c>
      <c r="J271" s="7">
        <v>80</v>
      </c>
      <c r="K271" s="7">
        <f t="shared" si="60"/>
        <v>68.33</v>
      </c>
    </row>
    <row r="272" ht="14.25" spans="1:11">
      <c r="A272" s="7">
        <v>270</v>
      </c>
      <c r="B272" s="7" t="s">
        <v>281</v>
      </c>
      <c r="C272" s="7" t="str">
        <f t="shared" si="64"/>
        <v>37</v>
      </c>
      <c r="D272" s="7" t="str">
        <f>"12"</f>
        <v>12</v>
      </c>
      <c r="E272" s="7" t="str">
        <f>"20210173712"</f>
        <v>20210173712</v>
      </c>
      <c r="F272" s="7" t="s">
        <v>296</v>
      </c>
      <c r="G272" s="7">
        <v>64</v>
      </c>
      <c r="H272" s="7">
        <v>67</v>
      </c>
      <c r="I272" s="8">
        <f t="shared" si="59"/>
        <v>64.9</v>
      </c>
      <c r="J272" s="7">
        <v>71.8</v>
      </c>
      <c r="K272" s="7">
        <f t="shared" si="60"/>
        <v>67.66</v>
      </c>
    </row>
    <row r="273" ht="14.25" spans="1:11">
      <c r="A273" s="7">
        <v>271</v>
      </c>
      <c r="B273" s="7" t="s">
        <v>297</v>
      </c>
      <c r="C273" s="7" t="str">
        <f>"41"</f>
        <v>41</v>
      </c>
      <c r="D273" s="7" t="str">
        <f>"02"</f>
        <v>02</v>
      </c>
      <c r="E273" s="7" t="str">
        <f>"20210184102"</f>
        <v>20210184102</v>
      </c>
      <c r="F273" s="7" t="s">
        <v>298</v>
      </c>
      <c r="G273" s="7">
        <v>80.5</v>
      </c>
      <c r="H273" s="7">
        <v>87</v>
      </c>
      <c r="I273" s="8">
        <f t="shared" si="59"/>
        <v>82.45</v>
      </c>
      <c r="J273" s="7">
        <v>84.6</v>
      </c>
      <c r="K273" s="7">
        <f t="shared" si="60"/>
        <v>83.31</v>
      </c>
    </row>
    <row r="274" ht="14.25" spans="1:11">
      <c r="A274" s="7">
        <v>272</v>
      </c>
      <c r="B274" s="7" t="s">
        <v>297</v>
      </c>
      <c r="C274" s="7" t="str">
        <f t="shared" ref="C274:C278" si="65">"40"</f>
        <v>40</v>
      </c>
      <c r="D274" s="7" t="str">
        <f>"27"</f>
        <v>27</v>
      </c>
      <c r="E274" s="7" t="str">
        <f>"20210184027"</f>
        <v>20210184027</v>
      </c>
      <c r="F274" s="7" t="s">
        <v>299</v>
      </c>
      <c r="G274" s="7">
        <v>77</v>
      </c>
      <c r="H274" s="7">
        <v>86</v>
      </c>
      <c r="I274" s="8">
        <f t="shared" si="59"/>
        <v>79.7</v>
      </c>
      <c r="J274" s="7">
        <v>81</v>
      </c>
      <c r="K274" s="7">
        <f t="shared" si="60"/>
        <v>80.22</v>
      </c>
    </row>
    <row r="275" ht="14.25" spans="1:11">
      <c r="A275" s="7">
        <v>273</v>
      </c>
      <c r="B275" s="7" t="s">
        <v>297</v>
      </c>
      <c r="C275" s="7" t="str">
        <f t="shared" ref="C275:C279" si="66">"39"</f>
        <v>39</v>
      </c>
      <c r="D275" s="7" t="str">
        <f>"21"</f>
        <v>21</v>
      </c>
      <c r="E275" s="7" t="str">
        <f>"20210183921"</f>
        <v>20210183921</v>
      </c>
      <c r="F275" s="7" t="s">
        <v>300</v>
      </c>
      <c r="G275" s="7">
        <v>71</v>
      </c>
      <c r="H275" s="7">
        <v>93</v>
      </c>
      <c r="I275" s="8">
        <f t="shared" si="59"/>
        <v>77.6</v>
      </c>
      <c r="J275" s="7">
        <v>79.2</v>
      </c>
      <c r="K275" s="7">
        <f t="shared" si="60"/>
        <v>78.24</v>
      </c>
    </row>
    <row r="276" ht="14.25" spans="1:11">
      <c r="A276" s="7">
        <v>274</v>
      </c>
      <c r="B276" s="7" t="s">
        <v>297</v>
      </c>
      <c r="C276" s="7" t="str">
        <f t="shared" si="66"/>
        <v>39</v>
      </c>
      <c r="D276" s="7" t="str">
        <f>"27"</f>
        <v>27</v>
      </c>
      <c r="E276" s="7" t="str">
        <f>"20210183927"</f>
        <v>20210183927</v>
      </c>
      <c r="F276" s="7" t="s">
        <v>301</v>
      </c>
      <c r="G276" s="7">
        <v>69</v>
      </c>
      <c r="H276" s="7">
        <v>63</v>
      </c>
      <c r="I276" s="8">
        <f t="shared" si="59"/>
        <v>67.2</v>
      </c>
      <c r="J276" s="7">
        <v>89.2</v>
      </c>
      <c r="K276" s="7">
        <f t="shared" si="60"/>
        <v>76</v>
      </c>
    </row>
    <row r="277" ht="14.25" spans="1:11">
      <c r="A277" s="7">
        <v>275</v>
      </c>
      <c r="B277" s="7" t="s">
        <v>297</v>
      </c>
      <c r="C277" s="7" t="str">
        <f t="shared" si="65"/>
        <v>40</v>
      </c>
      <c r="D277" s="7" t="str">
        <f>"16"</f>
        <v>16</v>
      </c>
      <c r="E277" s="7" t="str">
        <f>"20210184016"</f>
        <v>20210184016</v>
      </c>
      <c r="F277" s="7" t="s">
        <v>302</v>
      </c>
      <c r="G277" s="7">
        <v>73</v>
      </c>
      <c r="H277" s="7">
        <v>85</v>
      </c>
      <c r="I277" s="8">
        <f t="shared" si="59"/>
        <v>76.6</v>
      </c>
      <c r="J277" s="7">
        <v>69.8</v>
      </c>
      <c r="K277" s="7">
        <f t="shared" si="60"/>
        <v>73.88</v>
      </c>
    </row>
    <row r="278" ht="14.25" spans="1:11">
      <c r="A278" s="7">
        <v>276</v>
      </c>
      <c r="B278" s="7" t="s">
        <v>297</v>
      </c>
      <c r="C278" s="7" t="str">
        <f t="shared" si="65"/>
        <v>40</v>
      </c>
      <c r="D278" s="7" t="str">
        <f>"05"</f>
        <v>05</v>
      </c>
      <c r="E278" s="7" t="str">
        <f>"20210184005"</f>
        <v>20210184005</v>
      </c>
      <c r="F278" s="7" t="s">
        <v>303</v>
      </c>
      <c r="G278" s="7">
        <v>63</v>
      </c>
      <c r="H278" s="7">
        <v>89</v>
      </c>
      <c r="I278" s="8">
        <f t="shared" si="59"/>
        <v>70.8</v>
      </c>
      <c r="J278" s="7">
        <v>77.8</v>
      </c>
      <c r="K278" s="7">
        <f t="shared" si="60"/>
        <v>73.6</v>
      </c>
    </row>
    <row r="279" ht="14.25" spans="1:11">
      <c r="A279" s="7">
        <v>277</v>
      </c>
      <c r="B279" s="7" t="s">
        <v>297</v>
      </c>
      <c r="C279" s="7" t="str">
        <f t="shared" si="66"/>
        <v>39</v>
      </c>
      <c r="D279" s="7" t="str">
        <f>"03"</f>
        <v>03</v>
      </c>
      <c r="E279" s="7" t="str">
        <f>"20210183903"</f>
        <v>20210183903</v>
      </c>
      <c r="F279" s="7" t="s">
        <v>304</v>
      </c>
      <c r="G279" s="7">
        <v>70.5</v>
      </c>
      <c r="H279" s="7">
        <v>66</v>
      </c>
      <c r="I279" s="8">
        <f t="shared" si="59"/>
        <v>69.15</v>
      </c>
      <c r="J279" s="7">
        <v>76.8</v>
      </c>
      <c r="K279" s="7">
        <f t="shared" si="60"/>
        <v>72.21</v>
      </c>
    </row>
    <row r="280" ht="14.25" spans="1:11">
      <c r="A280" s="7">
        <v>278</v>
      </c>
      <c r="B280" s="7" t="s">
        <v>297</v>
      </c>
      <c r="C280" s="7" t="str">
        <f t="shared" ref="C280:C285" si="67">"40"</f>
        <v>40</v>
      </c>
      <c r="D280" s="7" t="str">
        <f>"29"</f>
        <v>29</v>
      </c>
      <c r="E280" s="7" t="str">
        <f>"20210184029"</f>
        <v>20210184029</v>
      </c>
      <c r="F280" s="7" t="s">
        <v>305</v>
      </c>
      <c r="G280" s="7">
        <v>67</v>
      </c>
      <c r="H280" s="7">
        <v>67</v>
      </c>
      <c r="I280" s="8">
        <f t="shared" si="59"/>
        <v>67</v>
      </c>
      <c r="J280" s="7">
        <v>79</v>
      </c>
      <c r="K280" s="7">
        <f t="shared" si="60"/>
        <v>71.8</v>
      </c>
    </row>
    <row r="281" ht="14.25" spans="1:11">
      <c r="A281" s="7">
        <v>279</v>
      </c>
      <c r="B281" s="7" t="s">
        <v>297</v>
      </c>
      <c r="C281" s="7" t="str">
        <f t="shared" si="67"/>
        <v>40</v>
      </c>
      <c r="D281" s="7" t="str">
        <f>"03"</f>
        <v>03</v>
      </c>
      <c r="E281" s="7" t="str">
        <f>"20210184003"</f>
        <v>20210184003</v>
      </c>
      <c r="F281" s="7" t="s">
        <v>306</v>
      </c>
      <c r="G281" s="7">
        <v>56</v>
      </c>
      <c r="H281" s="7">
        <v>80</v>
      </c>
      <c r="I281" s="8">
        <f t="shared" si="59"/>
        <v>63.2</v>
      </c>
      <c r="J281" s="7">
        <v>80.4</v>
      </c>
      <c r="K281" s="7">
        <f t="shared" si="60"/>
        <v>70.08</v>
      </c>
    </row>
    <row r="282" ht="14.25" spans="1:11">
      <c r="A282" s="7">
        <v>280</v>
      </c>
      <c r="B282" s="7" t="s">
        <v>297</v>
      </c>
      <c r="C282" s="7" t="str">
        <f>"39"</f>
        <v>39</v>
      </c>
      <c r="D282" s="7" t="str">
        <f>"13"</f>
        <v>13</v>
      </c>
      <c r="E282" s="7" t="str">
        <f>"20210183913"</f>
        <v>20210183913</v>
      </c>
      <c r="F282" s="7" t="s">
        <v>307</v>
      </c>
      <c r="G282" s="7">
        <v>65</v>
      </c>
      <c r="H282" s="7">
        <v>61</v>
      </c>
      <c r="I282" s="8">
        <f t="shared" si="59"/>
        <v>63.8</v>
      </c>
      <c r="J282" s="7">
        <v>75.4</v>
      </c>
      <c r="K282" s="7">
        <f t="shared" si="60"/>
        <v>68.44</v>
      </c>
    </row>
    <row r="283" ht="14.25" spans="1:11">
      <c r="A283" s="7">
        <v>281</v>
      </c>
      <c r="B283" s="7" t="s">
        <v>297</v>
      </c>
      <c r="C283" s="7" t="str">
        <f t="shared" si="67"/>
        <v>40</v>
      </c>
      <c r="D283" s="7" t="str">
        <f>"28"</f>
        <v>28</v>
      </c>
      <c r="E283" s="7" t="str">
        <f>"20210184028"</f>
        <v>20210184028</v>
      </c>
      <c r="F283" s="7" t="s">
        <v>308</v>
      </c>
      <c r="G283" s="7">
        <v>46</v>
      </c>
      <c r="H283" s="7">
        <v>90</v>
      </c>
      <c r="I283" s="8">
        <f t="shared" si="59"/>
        <v>59.2</v>
      </c>
      <c r="J283" s="7">
        <v>79.7</v>
      </c>
      <c r="K283" s="7">
        <f t="shared" si="60"/>
        <v>67.4</v>
      </c>
    </row>
    <row r="284" ht="14.25" spans="1:11">
      <c r="A284" s="7">
        <v>282</v>
      </c>
      <c r="B284" s="7" t="s">
        <v>297</v>
      </c>
      <c r="C284" s="7" t="str">
        <f t="shared" si="67"/>
        <v>40</v>
      </c>
      <c r="D284" s="7" t="str">
        <f>"19"</f>
        <v>19</v>
      </c>
      <c r="E284" s="7" t="str">
        <f>"20210184019"</f>
        <v>20210184019</v>
      </c>
      <c r="F284" s="7" t="s">
        <v>309</v>
      </c>
      <c r="G284" s="7">
        <v>68</v>
      </c>
      <c r="H284" s="7">
        <v>62</v>
      </c>
      <c r="I284" s="8">
        <f t="shared" si="59"/>
        <v>66.2</v>
      </c>
      <c r="J284" s="7">
        <v>68.8</v>
      </c>
      <c r="K284" s="7">
        <f t="shared" si="60"/>
        <v>67.24</v>
      </c>
    </row>
    <row r="285" ht="14.25" spans="1:11">
      <c r="A285" s="7">
        <v>283</v>
      </c>
      <c r="B285" s="7" t="s">
        <v>297</v>
      </c>
      <c r="C285" s="7" t="str">
        <f t="shared" si="67"/>
        <v>40</v>
      </c>
      <c r="D285" s="7" t="str">
        <f>"21"</f>
        <v>21</v>
      </c>
      <c r="E285" s="7" t="str">
        <f>"20210184021"</f>
        <v>20210184021</v>
      </c>
      <c r="F285" s="7" t="s">
        <v>310</v>
      </c>
      <c r="G285" s="7">
        <v>55</v>
      </c>
      <c r="H285" s="7">
        <v>74</v>
      </c>
      <c r="I285" s="8">
        <f t="shared" si="59"/>
        <v>60.7</v>
      </c>
      <c r="J285" s="7">
        <v>76</v>
      </c>
      <c r="K285" s="7">
        <f t="shared" si="60"/>
        <v>66.82</v>
      </c>
    </row>
    <row r="286" ht="14.25" spans="1:11">
      <c r="A286" s="7">
        <v>284</v>
      </c>
      <c r="B286" s="7" t="s">
        <v>297</v>
      </c>
      <c r="C286" s="7" t="str">
        <f>"39"</f>
        <v>39</v>
      </c>
      <c r="D286" s="7" t="str">
        <f>"19"</f>
        <v>19</v>
      </c>
      <c r="E286" s="7" t="str">
        <f>"20210183919"</f>
        <v>20210183919</v>
      </c>
      <c r="F286" s="7" t="s">
        <v>311</v>
      </c>
      <c r="G286" s="7">
        <v>61</v>
      </c>
      <c r="H286" s="7">
        <v>81</v>
      </c>
      <c r="I286" s="8">
        <f t="shared" si="59"/>
        <v>67</v>
      </c>
      <c r="J286" s="7">
        <v>64.8</v>
      </c>
      <c r="K286" s="7">
        <f t="shared" si="60"/>
        <v>66.12</v>
      </c>
    </row>
    <row r="287" ht="14.25" spans="1:11">
      <c r="A287" s="7">
        <v>285</v>
      </c>
      <c r="B287" s="7" t="s">
        <v>297</v>
      </c>
      <c r="C287" s="7" t="str">
        <f>"40"</f>
        <v>40</v>
      </c>
      <c r="D287" s="7" t="str">
        <f>"07"</f>
        <v>07</v>
      </c>
      <c r="E287" s="7" t="str">
        <f>"20210184007"</f>
        <v>20210184007</v>
      </c>
      <c r="F287" s="7" t="s">
        <v>312</v>
      </c>
      <c r="G287" s="7">
        <v>56</v>
      </c>
      <c r="H287" s="7">
        <v>62</v>
      </c>
      <c r="I287" s="8">
        <f t="shared" si="59"/>
        <v>57.8</v>
      </c>
      <c r="J287" s="7">
        <v>73.4</v>
      </c>
      <c r="K287" s="7">
        <f t="shared" si="60"/>
        <v>64.04</v>
      </c>
    </row>
    <row r="288" ht="14.25" spans="1:11">
      <c r="A288" s="7">
        <v>286</v>
      </c>
      <c r="B288" s="7" t="s">
        <v>297</v>
      </c>
      <c r="C288" s="7" t="str">
        <f>"40"</f>
        <v>40</v>
      </c>
      <c r="D288" s="7" t="str">
        <f>"23"</f>
        <v>23</v>
      </c>
      <c r="E288" s="7" t="str">
        <f>"20210184023"</f>
        <v>20210184023</v>
      </c>
      <c r="F288" s="7" t="s">
        <v>313</v>
      </c>
      <c r="G288" s="7">
        <v>54</v>
      </c>
      <c r="H288" s="7">
        <v>80</v>
      </c>
      <c r="I288" s="8">
        <f t="shared" si="59"/>
        <v>61.8</v>
      </c>
      <c r="J288" s="7">
        <v>62.6</v>
      </c>
      <c r="K288" s="7">
        <f t="shared" si="60"/>
        <v>62.12</v>
      </c>
    </row>
    <row r="289" ht="14.25" spans="1:11">
      <c r="A289" s="7">
        <v>287</v>
      </c>
      <c r="B289" s="7" t="s">
        <v>314</v>
      </c>
      <c r="C289" s="7" t="str">
        <f t="shared" ref="C289:C294" si="68">"42"</f>
        <v>42</v>
      </c>
      <c r="D289" s="7" t="str">
        <f>"02"</f>
        <v>02</v>
      </c>
      <c r="E289" s="7" t="str">
        <f>"20210194202"</f>
        <v>20210194202</v>
      </c>
      <c r="F289" s="7" t="s">
        <v>315</v>
      </c>
      <c r="G289" s="7">
        <v>81</v>
      </c>
      <c r="H289" s="7">
        <v>96</v>
      </c>
      <c r="I289" s="8">
        <f t="shared" si="59"/>
        <v>85.5</v>
      </c>
      <c r="J289" s="7">
        <v>73.7</v>
      </c>
      <c r="K289" s="7">
        <f t="shared" si="60"/>
        <v>80.78</v>
      </c>
    </row>
    <row r="290" ht="14.25" spans="1:11">
      <c r="A290" s="7">
        <v>288</v>
      </c>
      <c r="B290" s="7" t="s">
        <v>314</v>
      </c>
      <c r="C290" s="7" t="str">
        <f t="shared" si="68"/>
        <v>42</v>
      </c>
      <c r="D290" s="7" t="str">
        <f>"05"</f>
        <v>05</v>
      </c>
      <c r="E290" s="7" t="str">
        <f>"20210194205"</f>
        <v>20210194205</v>
      </c>
      <c r="F290" s="7" t="s">
        <v>316</v>
      </c>
      <c r="G290" s="7">
        <v>81</v>
      </c>
      <c r="H290" s="7">
        <v>78</v>
      </c>
      <c r="I290" s="8">
        <f t="shared" si="59"/>
        <v>80.1</v>
      </c>
      <c r="J290" s="7">
        <v>76.3</v>
      </c>
      <c r="K290" s="7">
        <f t="shared" si="60"/>
        <v>78.58</v>
      </c>
    </row>
    <row r="291" ht="14.25" spans="1:11">
      <c r="A291" s="7">
        <v>289</v>
      </c>
      <c r="B291" s="7" t="s">
        <v>314</v>
      </c>
      <c r="C291" s="7" t="str">
        <f t="shared" ref="C291:C296" si="69">"41"</f>
        <v>41</v>
      </c>
      <c r="D291" s="7" t="str">
        <f>"13"</f>
        <v>13</v>
      </c>
      <c r="E291" s="7" t="str">
        <f>"20210194113"</f>
        <v>20210194113</v>
      </c>
      <c r="F291" s="7" t="s">
        <v>317</v>
      </c>
      <c r="G291" s="7">
        <v>70</v>
      </c>
      <c r="H291" s="7">
        <v>90</v>
      </c>
      <c r="I291" s="8">
        <f t="shared" si="59"/>
        <v>76</v>
      </c>
      <c r="J291" s="7">
        <v>73.6</v>
      </c>
      <c r="K291" s="7">
        <f t="shared" si="60"/>
        <v>75.04</v>
      </c>
    </row>
    <row r="292" ht="14.25" spans="1:11">
      <c r="A292" s="7">
        <v>290</v>
      </c>
      <c r="B292" s="7" t="s">
        <v>314</v>
      </c>
      <c r="C292" s="7" t="str">
        <f t="shared" si="69"/>
        <v>41</v>
      </c>
      <c r="D292" s="7" t="str">
        <f>"29"</f>
        <v>29</v>
      </c>
      <c r="E292" s="7" t="str">
        <f>"20210194129"</f>
        <v>20210194129</v>
      </c>
      <c r="F292" s="7" t="s">
        <v>318</v>
      </c>
      <c r="G292" s="7">
        <v>69</v>
      </c>
      <c r="H292" s="7">
        <v>80</v>
      </c>
      <c r="I292" s="8">
        <f t="shared" si="59"/>
        <v>72.3</v>
      </c>
      <c r="J292" s="7">
        <v>78.8</v>
      </c>
      <c r="K292" s="7">
        <f t="shared" si="60"/>
        <v>74.9</v>
      </c>
    </row>
    <row r="293" ht="14.25" spans="1:11">
      <c r="A293" s="7">
        <v>291</v>
      </c>
      <c r="B293" s="7" t="s">
        <v>314</v>
      </c>
      <c r="C293" s="7" t="str">
        <f t="shared" si="68"/>
        <v>42</v>
      </c>
      <c r="D293" s="7" t="str">
        <f>"01"</f>
        <v>01</v>
      </c>
      <c r="E293" s="7" t="str">
        <f>"20210194201"</f>
        <v>20210194201</v>
      </c>
      <c r="F293" s="7" t="s">
        <v>319</v>
      </c>
      <c r="G293" s="7">
        <v>66</v>
      </c>
      <c r="H293" s="7">
        <v>82</v>
      </c>
      <c r="I293" s="8">
        <f t="shared" si="59"/>
        <v>70.8</v>
      </c>
      <c r="J293" s="7">
        <v>81</v>
      </c>
      <c r="K293" s="7">
        <f t="shared" si="60"/>
        <v>74.88</v>
      </c>
    </row>
    <row r="294" ht="14.25" spans="1:11">
      <c r="A294" s="7">
        <v>292</v>
      </c>
      <c r="B294" s="7" t="s">
        <v>314</v>
      </c>
      <c r="C294" s="7" t="str">
        <f t="shared" si="68"/>
        <v>42</v>
      </c>
      <c r="D294" s="7" t="str">
        <f>"06"</f>
        <v>06</v>
      </c>
      <c r="E294" s="7" t="str">
        <f>"20210194206"</f>
        <v>20210194206</v>
      </c>
      <c r="F294" s="7" t="s">
        <v>320</v>
      </c>
      <c r="G294" s="7">
        <v>63</v>
      </c>
      <c r="H294" s="7">
        <v>82</v>
      </c>
      <c r="I294" s="8">
        <f t="shared" si="59"/>
        <v>68.7</v>
      </c>
      <c r="J294" s="7">
        <v>81.1</v>
      </c>
      <c r="K294" s="7">
        <f t="shared" si="60"/>
        <v>73.66</v>
      </c>
    </row>
    <row r="295" ht="14.25" spans="1:11">
      <c r="A295" s="7">
        <v>293</v>
      </c>
      <c r="B295" s="7" t="s">
        <v>314</v>
      </c>
      <c r="C295" s="7" t="str">
        <f t="shared" si="69"/>
        <v>41</v>
      </c>
      <c r="D295" s="7" t="str">
        <f>"27"</f>
        <v>27</v>
      </c>
      <c r="E295" s="7" t="str">
        <f>"20210194127"</f>
        <v>20210194127</v>
      </c>
      <c r="F295" s="7" t="s">
        <v>321</v>
      </c>
      <c r="G295" s="7">
        <v>66</v>
      </c>
      <c r="H295" s="7">
        <v>76</v>
      </c>
      <c r="I295" s="8">
        <f t="shared" si="59"/>
        <v>69</v>
      </c>
      <c r="J295" s="7">
        <v>75.9</v>
      </c>
      <c r="K295" s="7">
        <f t="shared" si="60"/>
        <v>71.76</v>
      </c>
    </row>
    <row r="296" ht="14.25" spans="1:11">
      <c r="A296" s="7">
        <v>294</v>
      </c>
      <c r="B296" s="7" t="s">
        <v>314</v>
      </c>
      <c r="C296" s="7" t="str">
        <f t="shared" si="69"/>
        <v>41</v>
      </c>
      <c r="D296" s="7" t="str">
        <f>"24"</f>
        <v>24</v>
      </c>
      <c r="E296" s="7" t="str">
        <f>"20210194124"</f>
        <v>20210194124</v>
      </c>
      <c r="F296" s="7" t="s">
        <v>322</v>
      </c>
      <c r="G296" s="7">
        <v>69</v>
      </c>
      <c r="H296" s="7">
        <v>87</v>
      </c>
      <c r="I296" s="8">
        <f t="shared" si="59"/>
        <v>74.4</v>
      </c>
      <c r="J296" s="7">
        <v>61.8</v>
      </c>
      <c r="K296" s="7">
        <f t="shared" si="60"/>
        <v>69.36</v>
      </c>
    </row>
    <row r="297" ht="14.25" spans="1:11">
      <c r="A297" s="7">
        <v>295</v>
      </c>
      <c r="B297" s="7" t="s">
        <v>314</v>
      </c>
      <c r="C297" s="7" t="str">
        <f t="shared" ref="C297:C301" si="70">"42"</f>
        <v>42</v>
      </c>
      <c r="D297" s="7" t="str">
        <f>"22"</f>
        <v>22</v>
      </c>
      <c r="E297" s="7" t="str">
        <f>"20210194222"</f>
        <v>20210194222</v>
      </c>
      <c r="F297" s="7" t="s">
        <v>323</v>
      </c>
      <c r="G297" s="7">
        <v>57</v>
      </c>
      <c r="H297" s="7">
        <v>88</v>
      </c>
      <c r="I297" s="8">
        <f t="shared" si="59"/>
        <v>66.3</v>
      </c>
      <c r="J297" s="7">
        <v>73.5</v>
      </c>
      <c r="K297" s="7">
        <f t="shared" si="60"/>
        <v>69.18</v>
      </c>
    </row>
    <row r="298" ht="14.25" spans="1:11">
      <c r="A298" s="7">
        <v>296</v>
      </c>
      <c r="B298" s="7" t="s">
        <v>314</v>
      </c>
      <c r="C298" s="7" t="str">
        <f>"43"</f>
        <v>43</v>
      </c>
      <c r="D298" s="7" t="str">
        <f>"04"</f>
        <v>04</v>
      </c>
      <c r="E298" s="7" t="str">
        <f>"20210194304"</f>
        <v>20210194304</v>
      </c>
      <c r="F298" s="7" t="s">
        <v>324</v>
      </c>
      <c r="G298" s="7">
        <v>60.5</v>
      </c>
      <c r="H298" s="7">
        <v>73</v>
      </c>
      <c r="I298" s="8">
        <f t="shared" si="59"/>
        <v>64.25</v>
      </c>
      <c r="J298" s="7">
        <v>75.6</v>
      </c>
      <c r="K298" s="7">
        <f t="shared" si="60"/>
        <v>68.79</v>
      </c>
    </row>
    <row r="299" ht="14.25" spans="1:11">
      <c r="A299" s="7">
        <v>297</v>
      </c>
      <c r="B299" s="7" t="s">
        <v>314</v>
      </c>
      <c r="C299" s="7" t="str">
        <f t="shared" si="70"/>
        <v>42</v>
      </c>
      <c r="D299" s="7" t="str">
        <f>"27"</f>
        <v>27</v>
      </c>
      <c r="E299" s="7" t="str">
        <f>"20210194227"</f>
        <v>20210194227</v>
      </c>
      <c r="F299" s="7" t="s">
        <v>325</v>
      </c>
      <c r="G299" s="7">
        <v>58</v>
      </c>
      <c r="H299" s="7">
        <v>71</v>
      </c>
      <c r="I299" s="8">
        <f t="shared" si="59"/>
        <v>61.9</v>
      </c>
      <c r="J299" s="7">
        <v>77.9</v>
      </c>
      <c r="K299" s="7">
        <f t="shared" si="60"/>
        <v>68.3</v>
      </c>
    </row>
    <row r="300" ht="14.25" spans="1:11">
      <c r="A300" s="7">
        <v>298</v>
      </c>
      <c r="B300" s="7" t="s">
        <v>314</v>
      </c>
      <c r="C300" s="7" t="str">
        <f t="shared" ref="C300:C304" si="71">"41"</f>
        <v>41</v>
      </c>
      <c r="D300" s="7" t="str">
        <f>"14"</f>
        <v>14</v>
      </c>
      <c r="E300" s="7" t="str">
        <f>"20210194114"</f>
        <v>20210194114</v>
      </c>
      <c r="F300" s="7" t="s">
        <v>326</v>
      </c>
      <c r="G300" s="7">
        <v>58</v>
      </c>
      <c r="H300" s="7">
        <v>66</v>
      </c>
      <c r="I300" s="8">
        <f t="shared" si="59"/>
        <v>60.4</v>
      </c>
      <c r="J300" s="7">
        <v>75.3</v>
      </c>
      <c r="K300" s="7">
        <f t="shared" si="60"/>
        <v>66.36</v>
      </c>
    </row>
    <row r="301" ht="14.25" spans="1:11">
      <c r="A301" s="7">
        <v>299</v>
      </c>
      <c r="B301" s="7" t="s">
        <v>314</v>
      </c>
      <c r="C301" s="7" t="str">
        <f t="shared" si="70"/>
        <v>42</v>
      </c>
      <c r="D301" s="7" t="str">
        <f>"17"</f>
        <v>17</v>
      </c>
      <c r="E301" s="7" t="str">
        <f>"20210194217"</f>
        <v>20210194217</v>
      </c>
      <c r="F301" s="7" t="s">
        <v>327</v>
      </c>
      <c r="G301" s="7">
        <v>51</v>
      </c>
      <c r="H301" s="7">
        <v>63</v>
      </c>
      <c r="I301" s="8">
        <f t="shared" si="59"/>
        <v>54.6</v>
      </c>
      <c r="J301" s="7">
        <v>84</v>
      </c>
      <c r="K301" s="7">
        <f t="shared" si="60"/>
        <v>66.36</v>
      </c>
    </row>
    <row r="302" ht="14.25" spans="1:11">
      <c r="A302" s="7">
        <v>300</v>
      </c>
      <c r="B302" s="7" t="s">
        <v>314</v>
      </c>
      <c r="C302" s="7" t="str">
        <f t="shared" si="71"/>
        <v>41</v>
      </c>
      <c r="D302" s="7" t="str">
        <f>"17"</f>
        <v>17</v>
      </c>
      <c r="E302" s="7" t="str">
        <f>"20210194117"</f>
        <v>20210194117</v>
      </c>
      <c r="F302" s="7" t="s">
        <v>328</v>
      </c>
      <c r="G302" s="7">
        <v>47</v>
      </c>
      <c r="H302" s="7">
        <v>68</v>
      </c>
      <c r="I302" s="8">
        <f t="shared" si="59"/>
        <v>53.3</v>
      </c>
      <c r="J302" s="7">
        <v>83.5</v>
      </c>
      <c r="K302" s="7">
        <f t="shared" si="60"/>
        <v>65.38</v>
      </c>
    </row>
    <row r="303" ht="14.25" spans="1:11">
      <c r="A303" s="7">
        <v>301</v>
      </c>
      <c r="B303" s="7" t="s">
        <v>314</v>
      </c>
      <c r="C303" s="7" t="str">
        <f>"42"</f>
        <v>42</v>
      </c>
      <c r="D303" s="7" t="str">
        <f>"28"</f>
        <v>28</v>
      </c>
      <c r="E303" s="7" t="str">
        <f>"20210194228"</f>
        <v>20210194228</v>
      </c>
      <c r="F303" s="7" t="s">
        <v>329</v>
      </c>
      <c r="G303" s="7">
        <v>56</v>
      </c>
      <c r="H303" s="7">
        <v>57</v>
      </c>
      <c r="I303" s="8">
        <f t="shared" si="59"/>
        <v>56.3</v>
      </c>
      <c r="J303" s="7">
        <v>77.1</v>
      </c>
      <c r="K303" s="7">
        <f t="shared" si="60"/>
        <v>64.62</v>
      </c>
    </row>
    <row r="304" ht="14.25" spans="1:11">
      <c r="A304" s="7">
        <v>302</v>
      </c>
      <c r="B304" s="7" t="s">
        <v>314</v>
      </c>
      <c r="C304" s="7" t="str">
        <f t="shared" si="71"/>
        <v>41</v>
      </c>
      <c r="D304" s="7" t="str">
        <f>"23"</f>
        <v>23</v>
      </c>
      <c r="E304" s="7" t="str">
        <f>"20210194123"</f>
        <v>20210194123</v>
      </c>
      <c r="F304" s="7" t="s">
        <v>330</v>
      </c>
      <c r="G304" s="7">
        <v>66.5</v>
      </c>
      <c r="H304" s="7">
        <v>55</v>
      </c>
      <c r="I304" s="8">
        <f t="shared" si="59"/>
        <v>63.05</v>
      </c>
      <c r="J304" s="7">
        <v>64.9</v>
      </c>
      <c r="K304" s="7">
        <f t="shared" si="60"/>
        <v>63.79</v>
      </c>
    </row>
    <row r="305" ht="14.25" spans="1:11">
      <c r="A305" s="7">
        <v>303</v>
      </c>
      <c r="B305" s="7" t="s">
        <v>331</v>
      </c>
      <c r="C305" s="7" t="str">
        <f t="shared" ref="C305:C310" si="72">"43"</f>
        <v>43</v>
      </c>
      <c r="D305" s="7" t="str">
        <f>"15"</f>
        <v>15</v>
      </c>
      <c r="E305" s="7" t="str">
        <f>"20210204315"</f>
        <v>20210204315</v>
      </c>
      <c r="F305" s="7" t="s">
        <v>332</v>
      </c>
      <c r="G305" s="7">
        <v>73</v>
      </c>
      <c r="H305" s="7">
        <v>88</v>
      </c>
      <c r="I305" s="8">
        <f t="shared" si="59"/>
        <v>77.5</v>
      </c>
      <c r="J305" s="7">
        <v>85.8</v>
      </c>
      <c r="K305" s="7">
        <f t="shared" si="60"/>
        <v>80.82</v>
      </c>
    </row>
    <row r="306" ht="14.25" spans="1:11">
      <c r="A306" s="7">
        <v>304</v>
      </c>
      <c r="B306" s="7" t="s">
        <v>331</v>
      </c>
      <c r="C306" s="7" t="str">
        <f t="shared" si="72"/>
        <v>43</v>
      </c>
      <c r="D306" s="7" t="str">
        <f>"06"</f>
        <v>06</v>
      </c>
      <c r="E306" s="7" t="str">
        <f>"20210204306"</f>
        <v>20210204306</v>
      </c>
      <c r="F306" s="7" t="s">
        <v>333</v>
      </c>
      <c r="G306" s="7">
        <v>61</v>
      </c>
      <c r="H306" s="7">
        <v>67</v>
      </c>
      <c r="I306" s="8">
        <f t="shared" si="59"/>
        <v>62.8</v>
      </c>
      <c r="J306" s="7">
        <v>76.8</v>
      </c>
      <c r="K306" s="7">
        <f t="shared" si="60"/>
        <v>68.4</v>
      </c>
    </row>
    <row r="307" ht="14.25" spans="1:11">
      <c r="A307" s="7">
        <v>305</v>
      </c>
      <c r="B307" s="7" t="s">
        <v>331</v>
      </c>
      <c r="C307" s="7" t="str">
        <f t="shared" ref="C307:C312" si="73">"44"</f>
        <v>44</v>
      </c>
      <c r="D307" s="7" t="str">
        <f>"03"</f>
        <v>03</v>
      </c>
      <c r="E307" s="7" t="str">
        <f>"20210204403"</f>
        <v>20210204403</v>
      </c>
      <c r="F307" s="7" t="s">
        <v>334</v>
      </c>
      <c r="G307" s="7">
        <v>58.5</v>
      </c>
      <c r="H307" s="7">
        <v>61</v>
      </c>
      <c r="I307" s="8">
        <f t="shared" si="59"/>
        <v>59.25</v>
      </c>
      <c r="J307" s="7">
        <v>72.6</v>
      </c>
      <c r="K307" s="7">
        <f t="shared" si="60"/>
        <v>64.59</v>
      </c>
    </row>
    <row r="308" ht="14.25" spans="1:11">
      <c r="A308" s="7">
        <v>306</v>
      </c>
      <c r="B308" s="7" t="s">
        <v>331</v>
      </c>
      <c r="C308" s="7" t="str">
        <f t="shared" si="72"/>
        <v>43</v>
      </c>
      <c r="D308" s="7" t="str">
        <f>"09"</f>
        <v>09</v>
      </c>
      <c r="E308" s="7" t="str">
        <f>"20210204309"</f>
        <v>20210204309</v>
      </c>
      <c r="F308" s="7" t="s">
        <v>335</v>
      </c>
      <c r="G308" s="7">
        <v>51</v>
      </c>
      <c r="H308" s="7">
        <v>64</v>
      </c>
      <c r="I308" s="8">
        <f t="shared" si="59"/>
        <v>54.9</v>
      </c>
      <c r="J308" s="7">
        <v>70.2</v>
      </c>
      <c r="K308" s="7">
        <f t="shared" si="60"/>
        <v>61.02</v>
      </c>
    </row>
    <row r="309" ht="14.25" spans="1:11">
      <c r="A309" s="7">
        <v>307</v>
      </c>
      <c r="B309" s="7" t="s">
        <v>331</v>
      </c>
      <c r="C309" s="7" t="str">
        <f t="shared" si="72"/>
        <v>43</v>
      </c>
      <c r="D309" s="7" t="str">
        <f>"16"</f>
        <v>16</v>
      </c>
      <c r="E309" s="7" t="str">
        <f>"20210204316"</f>
        <v>20210204316</v>
      </c>
      <c r="F309" s="7" t="s">
        <v>336</v>
      </c>
      <c r="G309" s="7">
        <v>53</v>
      </c>
      <c r="H309" s="7">
        <v>61</v>
      </c>
      <c r="I309" s="8">
        <f t="shared" si="59"/>
        <v>55.4</v>
      </c>
      <c r="J309" s="7">
        <v>61.2</v>
      </c>
      <c r="K309" s="7">
        <f t="shared" si="60"/>
        <v>57.72</v>
      </c>
    </row>
    <row r="310" ht="14.25" spans="1:11">
      <c r="A310" s="7">
        <v>308</v>
      </c>
      <c r="B310" s="7" t="s">
        <v>331</v>
      </c>
      <c r="C310" s="7" t="str">
        <f t="shared" si="72"/>
        <v>43</v>
      </c>
      <c r="D310" s="7" t="str">
        <f>"08"</f>
        <v>08</v>
      </c>
      <c r="E310" s="7" t="str">
        <f>"20210204308"</f>
        <v>20210204308</v>
      </c>
      <c r="F310" s="7" t="s">
        <v>337</v>
      </c>
      <c r="G310" s="7">
        <v>50.5</v>
      </c>
      <c r="H310" s="7">
        <v>60</v>
      </c>
      <c r="I310" s="8">
        <f t="shared" si="59"/>
        <v>53.35</v>
      </c>
      <c r="J310" s="7">
        <v>63.6</v>
      </c>
      <c r="K310" s="7">
        <f t="shared" si="60"/>
        <v>57.45</v>
      </c>
    </row>
    <row r="311" ht="14.25" spans="1:11">
      <c r="A311" s="7">
        <v>309</v>
      </c>
      <c r="B311" s="7" t="s">
        <v>338</v>
      </c>
      <c r="C311" s="7" t="str">
        <f t="shared" si="73"/>
        <v>44</v>
      </c>
      <c r="D311" s="7" t="str">
        <f>"29"</f>
        <v>29</v>
      </c>
      <c r="E311" s="7" t="str">
        <f>"20210214429"</f>
        <v>20210214429</v>
      </c>
      <c r="F311" s="7" t="s">
        <v>339</v>
      </c>
      <c r="G311" s="7">
        <v>71</v>
      </c>
      <c r="H311" s="7">
        <v>68</v>
      </c>
      <c r="I311" s="8">
        <f t="shared" si="59"/>
        <v>70.1</v>
      </c>
      <c r="J311" s="7">
        <v>84.3</v>
      </c>
      <c r="K311" s="7">
        <f t="shared" si="60"/>
        <v>75.78</v>
      </c>
    </row>
    <row r="312" ht="14.25" spans="1:11">
      <c r="A312" s="7">
        <v>310</v>
      </c>
      <c r="B312" s="7" t="s">
        <v>338</v>
      </c>
      <c r="C312" s="7" t="str">
        <f t="shared" si="73"/>
        <v>44</v>
      </c>
      <c r="D312" s="7" t="str">
        <f>"18"</f>
        <v>18</v>
      </c>
      <c r="E312" s="7" t="str">
        <f>"20210214418"</f>
        <v>20210214418</v>
      </c>
      <c r="F312" s="7" t="s">
        <v>340</v>
      </c>
      <c r="G312" s="7">
        <v>68</v>
      </c>
      <c r="H312" s="7">
        <v>75</v>
      </c>
      <c r="I312" s="8">
        <f t="shared" si="59"/>
        <v>70.1</v>
      </c>
      <c r="J312" s="7">
        <v>84.1</v>
      </c>
      <c r="K312" s="7">
        <f t="shared" si="60"/>
        <v>75.7</v>
      </c>
    </row>
    <row r="313" ht="14.25" spans="1:11">
      <c r="A313" s="7">
        <v>311</v>
      </c>
      <c r="B313" s="7" t="s">
        <v>338</v>
      </c>
      <c r="C313" s="7" t="str">
        <f t="shared" ref="C313:C315" si="74">"45"</f>
        <v>45</v>
      </c>
      <c r="D313" s="7" t="str">
        <f>"14"</f>
        <v>14</v>
      </c>
      <c r="E313" s="7" t="str">
        <f>"20210214514"</f>
        <v>20210214514</v>
      </c>
      <c r="F313" s="7" t="s">
        <v>341</v>
      </c>
      <c r="G313" s="7">
        <v>66</v>
      </c>
      <c r="H313" s="7">
        <v>72</v>
      </c>
      <c r="I313" s="8">
        <f t="shared" si="59"/>
        <v>67.8</v>
      </c>
      <c r="J313" s="7">
        <v>83.5</v>
      </c>
      <c r="K313" s="7">
        <f t="shared" si="60"/>
        <v>74.08</v>
      </c>
    </row>
    <row r="314" ht="14.25" spans="1:11">
      <c r="A314" s="7">
        <v>312</v>
      </c>
      <c r="B314" s="7" t="s">
        <v>338</v>
      </c>
      <c r="C314" s="7" t="str">
        <f t="shared" si="74"/>
        <v>45</v>
      </c>
      <c r="D314" s="7" t="str">
        <f>"01"</f>
        <v>01</v>
      </c>
      <c r="E314" s="7" t="str">
        <f>"20210214501"</f>
        <v>20210214501</v>
      </c>
      <c r="F314" s="7" t="s">
        <v>342</v>
      </c>
      <c r="G314" s="7">
        <v>67.5</v>
      </c>
      <c r="H314" s="7">
        <v>89</v>
      </c>
      <c r="I314" s="8">
        <f t="shared" si="59"/>
        <v>73.95</v>
      </c>
      <c r="J314" s="7">
        <v>72.4</v>
      </c>
      <c r="K314" s="7">
        <f t="shared" si="60"/>
        <v>73.33</v>
      </c>
    </row>
    <row r="315" ht="14.25" spans="1:11">
      <c r="A315" s="7">
        <v>313</v>
      </c>
      <c r="B315" s="7" t="s">
        <v>338</v>
      </c>
      <c r="C315" s="7" t="str">
        <f t="shared" si="74"/>
        <v>45</v>
      </c>
      <c r="D315" s="7" t="str">
        <f>"07"</f>
        <v>07</v>
      </c>
      <c r="E315" s="7" t="str">
        <f>"20210214507"</f>
        <v>20210214507</v>
      </c>
      <c r="F315" s="7" t="s">
        <v>343</v>
      </c>
      <c r="G315" s="7">
        <v>77</v>
      </c>
      <c r="H315" s="7">
        <v>67</v>
      </c>
      <c r="I315" s="8">
        <f t="shared" si="59"/>
        <v>74</v>
      </c>
      <c r="J315" s="7">
        <v>70.5</v>
      </c>
      <c r="K315" s="7">
        <f t="shared" si="60"/>
        <v>72.6</v>
      </c>
    </row>
    <row r="316" ht="14.25" spans="1:11">
      <c r="A316" s="7">
        <v>314</v>
      </c>
      <c r="B316" s="7" t="s">
        <v>338</v>
      </c>
      <c r="C316" s="7" t="str">
        <f t="shared" ref="C316:C319" si="75">"44"</f>
        <v>44</v>
      </c>
      <c r="D316" s="7" t="str">
        <f>"13"</f>
        <v>13</v>
      </c>
      <c r="E316" s="7" t="str">
        <f>"20210214413"</f>
        <v>20210214413</v>
      </c>
      <c r="F316" s="7" t="s">
        <v>344</v>
      </c>
      <c r="G316" s="7">
        <v>66</v>
      </c>
      <c r="H316" s="7">
        <v>74</v>
      </c>
      <c r="I316" s="8">
        <f t="shared" si="59"/>
        <v>68.4</v>
      </c>
      <c r="J316" s="7">
        <v>75.1</v>
      </c>
      <c r="K316" s="7">
        <f t="shared" si="60"/>
        <v>71.08</v>
      </c>
    </row>
    <row r="317" ht="14.25" spans="1:11">
      <c r="A317" s="7">
        <v>315</v>
      </c>
      <c r="B317" s="7" t="s">
        <v>338</v>
      </c>
      <c r="C317" s="7" t="str">
        <f>"45"</f>
        <v>45</v>
      </c>
      <c r="D317" s="7" t="str">
        <f>"13"</f>
        <v>13</v>
      </c>
      <c r="E317" s="7" t="str">
        <f>"20210214513"</f>
        <v>20210214513</v>
      </c>
      <c r="F317" s="7" t="s">
        <v>345</v>
      </c>
      <c r="G317" s="7">
        <v>63.5</v>
      </c>
      <c r="H317" s="7">
        <v>75</v>
      </c>
      <c r="I317" s="8">
        <f t="shared" si="59"/>
        <v>66.95</v>
      </c>
      <c r="J317" s="7">
        <v>76.8</v>
      </c>
      <c r="K317" s="7">
        <f t="shared" si="60"/>
        <v>70.89</v>
      </c>
    </row>
    <row r="318" ht="14.25" spans="1:11">
      <c r="A318" s="7">
        <v>316</v>
      </c>
      <c r="B318" s="7" t="s">
        <v>338</v>
      </c>
      <c r="C318" s="7" t="str">
        <f t="shared" si="75"/>
        <v>44</v>
      </c>
      <c r="D318" s="7" t="str">
        <f>"19"</f>
        <v>19</v>
      </c>
      <c r="E318" s="7" t="str">
        <f>"20210214419"</f>
        <v>20210214419</v>
      </c>
      <c r="F318" s="7" t="s">
        <v>346</v>
      </c>
      <c r="G318" s="7">
        <v>66.5</v>
      </c>
      <c r="H318" s="7">
        <v>66</v>
      </c>
      <c r="I318" s="8">
        <f t="shared" si="59"/>
        <v>66.35</v>
      </c>
      <c r="J318" s="7">
        <v>76.1</v>
      </c>
      <c r="K318" s="7">
        <f t="shared" si="60"/>
        <v>70.25</v>
      </c>
    </row>
    <row r="319" ht="14.25" spans="1:11">
      <c r="A319" s="7">
        <v>317</v>
      </c>
      <c r="B319" s="7" t="s">
        <v>338</v>
      </c>
      <c r="C319" s="7" t="str">
        <f t="shared" si="75"/>
        <v>44</v>
      </c>
      <c r="D319" s="7" t="str">
        <f>"23"</f>
        <v>23</v>
      </c>
      <c r="E319" s="7" t="str">
        <f>"20210214423"</f>
        <v>20210214423</v>
      </c>
      <c r="F319" s="7" t="s">
        <v>347</v>
      </c>
      <c r="G319" s="7">
        <v>67.5</v>
      </c>
      <c r="H319" s="7">
        <v>62</v>
      </c>
      <c r="I319" s="8">
        <f t="shared" si="59"/>
        <v>65.85</v>
      </c>
      <c r="J319" s="7">
        <v>76</v>
      </c>
      <c r="K319" s="7">
        <f t="shared" si="60"/>
        <v>69.91</v>
      </c>
    </row>
    <row r="320" ht="14.25" spans="1:11">
      <c r="A320" s="7">
        <v>318</v>
      </c>
      <c r="B320" s="7" t="s">
        <v>338</v>
      </c>
      <c r="C320" s="7" t="str">
        <f>"45"</f>
        <v>45</v>
      </c>
      <c r="D320" s="7" t="str">
        <f>"03"</f>
        <v>03</v>
      </c>
      <c r="E320" s="7" t="str">
        <f>"20210214503"</f>
        <v>20210214503</v>
      </c>
      <c r="F320" s="7" t="s">
        <v>348</v>
      </c>
      <c r="G320" s="7">
        <v>66</v>
      </c>
      <c r="H320" s="7">
        <v>71</v>
      </c>
      <c r="I320" s="8">
        <f t="shared" si="59"/>
        <v>67.5</v>
      </c>
      <c r="J320" s="7">
        <v>72.8</v>
      </c>
      <c r="K320" s="7">
        <f t="shared" si="60"/>
        <v>69.62</v>
      </c>
    </row>
    <row r="321" ht="14.25" spans="1:11">
      <c r="A321" s="7">
        <v>319</v>
      </c>
      <c r="B321" s="7" t="s">
        <v>338</v>
      </c>
      <c r="C321" s="7" t="str">
        <f t="shared" ref="C321:C325" si="76">"44"</f>
        <v>44</v>
      </c>
      <c r="D321" s="7" t="str">
        <f>"07"</f>
        <v>07</v>
      </c>
      <c r="E321" s="7" t="str">
        <f>"20210214407"</f>
        <v>20210214407</v>
      </c>
      <c r="F321" s="7" t="s">
        <v>349</v>
      </c>
      <c r="G321" s="7">
        <v>72.5</v>
      </c>
      <c r="H321" s="7">
        <v>56</v>
      </c>
      <c r="I321" s="8">
        <f t="shared" si="59"/>
        <v>67.55</v>
      </c>
      <c r="J321" s="7">
        <v>71.7</v>
      </c>
      <c r="K321" s="7">
        <f t="shared" si="60"/>
        <v>69.21</v>
      </c>
    </row>
    <row r="322" ht="14.25" spans="1:11">
      <c r="A322" s="7">
        <v>320</v>
      </c>
      <c r="B322" s="7" t="s">
        <v>338</v>
      </c>
      <c r="C322" s="7" t="str">
        <f t="shared" si="76"/>
        <v>44</v>
      </c>
      <c r="D322" s="7" t="str">
        <f>"10"</f>
        <v>10</v>
      </c>
      <c r="E322" s="7" t="str">
        <f>"20210214410"</f>
        <v>20210214410</v>
      </c>
      <c r="F322" s="7" t="s">
        <v>350</v>
      </c>
      <c r="G322" s="7">
        <v>53</v>
      </c>
      <c r="H322" s="7">
        <v>75</v>
      </c>
      <c r="I322" s="8">
        <f t="shared" si="59"/>
        <v>59.6</v>
      </c>
      <c r="J322" s="7">
        <v>82.7</v>
      </c>
      <c r="K322" s="7">
        <f t="shared" si="60"/>
        <v>68.84</v>
      </c>
    </row>
    <row r="323" ht="14.25" spans="1:11">
      <c r="A323" s="7">
        <v>321</v>
      </c>
      <c r="B323" s="7" t="s">
        <v>338</v>
      </c>
      <c r="C323" s="7" t="str">
        <f t="shared" si="76"/>
        <v>44</v>
      </c>
      <c r="D323" s="7" t="str">
        <f>"28"</f>
        <v>28</v>
      </c>
      <c r="E323" s="7" t="str">
        <f>"20210214428"</f>
        <v>20210214428</v>
      </c>
      <c r="F323" s="7" t="s">
        <v>351</v>
      </c>
      <c r="G323" s="7">
        <v>58.5</v>
      </c>
      <c r="H323" s="7">
        <v>72</v>
      </c>
      <c r="I323" s="8">
        <f t="shared" ref="I323:I386" si="77">G323*0.7+H323*0.3</f>
        <v>62.55</v>
      </c>
      <c r="J323" s="7">
        <v>76</v>
      </c>
      <c r="K323" s="7">
        <f t="shared" ref="K323:K386" si="78">I323*0.6+J323*0.4</f>
        <v>67.93</v>
      </c>
    </row>
    <row r="324" ht="14.25" spans="1:11">
      <c r="A324" s="7">
        <v>322</v>
      </c>
      <c r="B324" s="7" t="s">
        <v>338</v>
      </c>
      <c r="C324" s="7" t="str">
        <f t="shared" si="76"/>
        <v>44</v>
      </c>
      <c r="D324" s="7" t="str">
        <f>"25"</f>
        <v>25</v>
      </c>
      <c r="E324" s="7" t="str">
        <f>"20210214425"</f>
        <v>20210214425</v>
      </c>
      <c r="F324" s="7" t="s">
        <v>352</v>
      </c>
      <c r="G324" s="7">
        <v>55</v>
      </c>
      <c r="H324" s="7">
        <v>69</v>
      </c>
      <c r="I324" s="8">
        <f t="shared" si="77"/>
        <v>59.2</v>
      </c>
      <c r="J324" s="7">
        <v>79.4</v>
      </c>
      <c r="K324" s="7">
        <f t="shared" si="78"/>
        <v>67.28</v>
      </c>
    </row>
    <row r="325" ht="14.25" spans="1:11">
      <c r="A325" s="7">
        <v>323</v>
      </c>
      <c r="B325" s="7" t="s">
        <v>338</v>
      </c>
      <c r="C325" s="7" t="str">
        <f t="shared" si="76"/>
        <v>44</v>
      </c>
      <c r="D325" s="7" t="str">
        <f>"16"</f>
        <v>16</v>
      </c>
      <c r="E325" s="7" t="str">
        <f>"20210214416"</f>
        <v>20210214416</v>
      </c>
      <c r="F325" s="7" t="s">
        <v>353</v>
      </c>
      <c r="G325" s="7">
        <v>62.5</v>
      </c>
      <c r="H325" s="7">
        <v>61</v>
      </c>
      <c r="I325" s="8">
        <f t="shared" si="77"/>
        <v>62.05</v>
      </c>
      <c r="J325" s="7">
        <v>73.9</v>
      </c>
      <c r="K325" s="7">
        <f t="shared" si="78"/>
        <v>66.79</v>
      </c>
    </row>
    <row r="326" ht="14.25" spans="1:11">
      <c r="A326" s="7">
        <v>324</v>
      </c>
      <c r="B326" s="7" t="s">
        <v>338</v>
      </c>
      <c r="C326" s="7" t="str">
        <f t="shared" ref="C326:C331" si="79">"45"</f>
        <v>45</v>
      </c>
      <c r="D326" s="7" t="str">
        <f>"11"</f>
        <v>11</v>
      </c>
      <c r="E326" s="7" t="str">
        <f>"20210214511"</f>
        <v>20210214511</v>
      </c>
      <c r="F326" s="7" t="s">
        <v>354</v>
      </c>
      <c r="G326" s="7">
        <v>57.5</v>
      </c>
      <c r="H326" s="7">
        <v>63</v>
      </c>
      <c r="I326" s="8">
        <f t="shared" si="77"/>
        <v>59.15</v>
      </c>
      <c r="J326" s="7">
        <v>77.9</v>
      </c>
      <c r="K326" s="7">
        <f t="shared" si="78"/>
        <v>66.65</v>
      </c>
    </row>
    <row r="327" ht="14.25" spans="1:11">
      <c r="A327" s="7">
        <v>325</v>
      </c>
      <c r="B327" s="7" t="s">
        <v>355</v>
      </c>
      <c r="C327" s="7" t="str">
        <f t="shared" ref="C327:C330" si="80">"46"</f>
        <v>46</v>
      </c>
      <c r="D327" s="7" t="str">
        <f>"03"</f>
        <v>03</v>
      </c>
      <c r="E327" s="7" t="str">
        <f>"20210224603"</f>
        <v>20210224603</v>
      </c>
      <c r="F327" s="7" t="s">
        <v>356</v>
      </c>
      <c r="G327" s="7">
        <v>72</v>
      </c>
      <c r="H327" s="7">
        <v>65</v>
      </c>
      <c r="I327" s="8">
        <f t="shared" si="77"/>
        <v>69.9</v>
      </c>
      <c r="J327" s="7">
        <v>85.2</v>
      </c>
      <c r="K327" s="7">
        <f t="shared" si="78"/>
        <v>76.02</v>
      </c>
    </row>
    <row r="328" ht="14.25" spans="1:11">
      <c r="A328" s="7">
        <v>326</v>
      </c>
      <c r="B328" s="7" t="s">
        <v>355</v>
      </c>
      <c r="C328" s="7" t="str">
        <f t="shared" si="79"/>
        <v>45</v>
      </c>
      <c r="D328" s="7" t="str">
        <f>"24"</f>
        <v>24</v>
      </c>
      <c r="E328" s="7" t="str">
        <f>"20210224524"</f>
        <v>20210224524</v>
      </c>
      <c r="F328" s="7" t="s">
        <v>357</v>
      </c>
      <c r="G328" s="7">
        <v>63.5</v>
      </c>
      <c r="H328" s="7">
        <v>72</v>
      </c>
      <c r="I328" s="8">
        <f t="shared" si="77"/>
        <v>66.05</v>
      </c>
      <c r="J328" s="7">
        <v>78.6</v>
      </c>
      <c r="K328" s="7">
        <f t="shared" si="78"/>
        <v>71.07</v>
      </c>
    </row>
    <row r="329" ht="14.25" spans="1:11">
      <c r="A329" s="7">
        <v>327</v>
      </c>
      <c r="B329" s="7" t="s">
        <v>355</v>
      </c>
      <c r="C329" s="7" t="str">
        <f t="shared" si="80"/>
        <v>46</v>
      </c>
      <c r="D329" s="7" t="str">
        <f>"06"</f>
        <v>06</v>
      </c>
      <c r="E329" s="7" t="str">
        <f>"20210224606"</f>
        <v>20210224606</v>
      </c>
      <c r="F329" s="7" t="s">
        <v>358</v>
      </c>
      <c r="G329" s="7">
        <v>64.5</v>
      </c>
      <c r="H329" s="7">
        <v>63</v>
      </c>
      <c r="I329" s="8">
        <f t="shared" si="77"/>
        <v>64.05</v>
      </c>
      <c r="J329" s="7">
        <v>80.4</v>
      </c>
      <c r="K329" s="7">
        <f t="shared" si="78"/>
        <v>70.59</v>
      </c>
    </row>
    <row r="330" ht="14.25" spans="1:11">
      <c r="A330" s="7">
        <v>328</v>
      </c>
      <c r="B330" s="7" t="s">
        <v>355</v>
      </c>
      <c r="C330" s="7" t="str">
        <f t="shared" si="80"/>
        <v>46</v>
      </c>
      <c r="D330" s="7" t="str">
        <f>"01"</f>
        <v>01</v>
      </c>
      <c r="E330" s="7" t="str">
        <f>"20210224601"</f>
        <v>20210224601</v>
      </c>
      <c r="F330" s="7" t="s">
        <v>359</v>
      </c>
      <c r="G330" s="7">
        <v>66</v>
      </c>
      <c r="H330" s="7">
        <v>60</v>
      </c>
      <c r="I330" s="8">
        <f t="shared" si="77"/>
        <v>64.2</v>
      </c>
      <c r="J330" s="7">
        <v>76.4</v>
      </c>
      <c r="K330" s="7">
        <f t="shared" si="78"/>
        <v>69.08</v>
      </c>
    </row>
    <row r="331" ht="14.25" spans="1:11">
      <c r="A331" s="7">
        <v>329</v>
      </c>
      <c r="B331" s="7" t="s">
        <v>355</v>
      </c>
      <c r="C331" s="7" t="str">
        <f t="shared" si="79"/>
        <v>45</v>
      </c>
      <c r="D331" s="7" t="str">
        <f>"18"</f>
        <v>18</v>
      </c>
      <c r="E331" s="7" t="str">
        <f>"20210224518"</f>
        <v>20210224518</v>
      </c>
      <c r="F331" s="7" t="s">
        <v>360</v>
      </c>
      <c r="G331" s="7">
        <v>59</v>
      </c>
      <c r="H331" s="7">
        <v>70</v>
      </c>
      <c r="I331" s="8">
        <f t="shared" si="77"/>
        <v>62.3</v>
      </c>
      <c r="J331" s="7">
        <v>76</v>
      </c>
      <c r="K331" s="7">
        <f t="shared" si="78"/>
        <v>67.78</v>
      </c>
    </row>
    <row r="332" ht="14.25" spans="1:11">
      <c r="A332" s="7">
        <v>330</v>
      </c>
      <c r="B332" s="7" t="s">
        <v>355</v>
      </c>
      <c r="C332" s="7" t="str">
        <f>"46"</f>
        <v>46</v>
      </c>
      <c r="D332" s="7" t="str">
        <f>"02"</f>
        <v>02</v>
      </c>
      <c r="E332" s="7" t="str">
        <f>"20210224602"</f>
        <v>20210224602</v>
      </c>
      <c r="F332" s="7" t="s">
        <v>361</v>
      </c>
      <c r="G332" s="7">
        <v>60</v>
      </c>
      <c r="H332" s="7">
        <v>55</v>
      </c>
      <c r="I332" s="8">
        <f t="shared" si="77"/>
        <v>58.5</v>
      </c>
      <c r="J332" s="7">
        <v>81.4</v>
      </c>
      <c r="K332" s="7">
        <f t="shared" si="78"/>
        <v>67.66</v>
      </c>
    </row>
    <row r="333" ht="14.25" spans="1:11">
      <c r="A333" s="7">
        <v>331</v>
      </c>
      <c r="B333" s="7" t="s">
        <v>355</v>
      </c>
      <c r="C333" s="7" t="str">
        <f>"46"</f>
        <v>46</v>
      </c>
      <c r="D333" s="7" t="str">
        <f>"11"</f>
        <v>11</v>
      </c>
      <c r="E333" s="7" t="str">
        <f>"20210224611"</f>
        <v>20210224611</v>
      </c>
      <c r="F333" s="7" t="s">
        <v>362</v>
      </c>
      <c r="G333" s="7">
        <v>62</v>
      </c>
      <c r="H333" s="7">
        <v>60</v>
      </c>
      <c r="I333" s="8">
        <f t="shared" si="77"/>
        <v>61.4</v>
      </c>
      <c r="J333" s="7">
        <v>76.6</v>
      </c>
      <c r="K333" s="7">
        <f t="shared" si="78"/>
        <v>67.48</v>
      </c>
    </row>
    <row r="334" ht="14.25" spans="1:11">
      <c r="A334" s="7">
        <v>332</v>
      </c>
      <c r="B334" s="7" t="s">
        <v>355</v>
      </c>
      <c r="C334" s="7" t="str">
        <f t="shared" ref="C334:C336" si="81">"45"</f>
        <v>45</v>
      </c>
      <c r="D334" s="7" t="str">
        <f>"22"</f>
        <v>22</v>
      </c>
      <c r="E334" s="7" t="str">
        <f>"20210224522"</f>
        <v>20210224522</v>
      </c>
      <c r="F334" s="7" t="s">
        <v>363</v>
      </c>
      <c r="G334" s="7">
        <v>62.5</v>
      </c>
      <c r="H334" s="7">
        <v>45</v>
      </c>
      <c r="I334" s="8">
        <f t="shared" si="77"/>
        <v>57.25</v>
      </c>
      <c r="J334" s="7">
        <v>81.8</v>
      </c>
      <c r="K334" s="7">
        <f t="shared" si="78"/>
        <v>67.07</v>
      </c>
    </row>
    <row r="335" ht="14.25" spans="1:11">
      <c r="A335" s="7">
        <v>333</v>
      </c>
      <c r="B335" s="7" t="s">
        <v>355</v>
      </c>
      <c r="C335" s="7" t="str">
        <f t="shared" si="81"/>
        <v>45</v>
      </c>
      <c r="D335" s="7" t="str">
        <f>"20"</f>
        <v>20</v>
      </c>
      <c r="E335" s="7" t="str">
        <f>"20210224520"</f>
        <v>20210224520</v>
      </c>
      <c r="F335" s="7" t="s">
        <v>364</v>
      </c>
      <c r="G335" s="7">
        <v>55</v>
      </c>
      <c r="H335" s="7">
        <v>72</v>
      </c>
      <c r="I335" s="8">
        <f t="shared" si="77"/>
        <v>60.1</v>
      </c>
      <c r="J335" s="7">
        <v>77.4</v>
      </c>
      <c r="K335" s="7">
        <f t="shared" si="78"/>
        <v>67.02</v>
      </c>
    </row>
    <row r="336" ht="14.25" spans="1:11">
      <c r="A336" s="7">
        <v>334</v>
      </c>
      <c r="B336" s="7" t="s">
        <v>355</v>
      </c>
      <c r="C336" s="7" t="str">
        <f t="shared" si="81"/>
        <v>45</v>
      </c>
      <c r="D336" s="7" t="str">
        <f>"29"</f>
        <v>29</v>
      </c>
      <c r="E336" s="7" t="str">
        <f>"20210224529"</f>
        <v>20210224529</v>
      </c>
      <c r="F336" s="7" t="s">
        <v>365</v>
      </c>
      <c r="G336" s="7">
        <v>54</v>
      </c>
      <c r="H336" s="7">
        <v>78</v>
      </c>
      <c r="I336" s="8">
        <f t="shared" si="77"/>
        <v>61.2</v>
      </c>
      <c r="J336" s="7">
        <v>75.6</v>
      </c>
      <c r="K336" s="7">
        <f t="shared" si="78"/>
        <v>66.96</v>
      </c>
    </row>
    <row r="337" ht="14.25" spans="1:11">
      <c r="A337" s="7">
        <v>335</v>
      </c>
      <c r="B337" s="7" t="s">
        <v>366</v>
      </c>
      <c r="C337" s="7" t="str">
        <f t="shared" ref="C337:C339" si="82">"47"</f>
        <v>47</v>
      </c>
      <c r="D337" s="7" t="str">
        <f>"24"</f>
        <v>24</v>
      </c>
      <c r="E337" s="7" t="str">
        <f>"20210234724"</f>
        <v>20210234724</v>
      </c>
      <c r="F337" s="7" t="s">
        <v>367</v>
      </c>
      <c r="G337" s="7">
        <v>74</v>
      </c>
      <c r="H337" s="7">
        <v>77</v>
      </c>
      <c r="I337" s="8">
        <f t="shared" si="77"/>
        <v>74.9</v>
      </c>
      <c r="J337" s="7">
        <v>82.8</v>
      </c>
      <c r="K337" s="7">
        <f t="shared" si="78"/>
        <v>78.06</v>
      </c>
    </row>
    <row r="338" ht="14.25" spans="1:11">
      <c r="A338" s="7">
        <v>336</v>
      </c>
      <c r="B338" s="7" t="s">
        <v>366</v>
      </c>
      <c r="C338" s="7" t="str">
        <f t="shared" si="82"/>
        <v>47</v>
      </c>
      <c r="D338" s="7" t="str">
        <f>"04"</f>
        <v>04</v>
      </c>
      <c r="E338" s="7" t="str">
        <f>"20210234704"</f>
        <v>20210234704</v>
      </c>
      <c r="F338" s="7" t="s">
        <v>368</v>
      </c>
      <c r="G338" s="7">
        <v>69</v>
      </c>
      <c r="H338" s="7">
        <v>80</v>
      </c>
      <c r="I338" s="8">
        <f t="shared" si="77"/>
        <v>72.3</v>
      </c>
      <c r="J338" s="7">
        <v>81.4</v>
      </c>
      <c r="K338" s="7">
        <f t="shared" si="78"/>
        <v>75.94</v>
      </c>
    </row>
    <row r="339" ht="14.25" spans="1:11">
      <c r="A339" s="7">
        <v>337</v>
      </c>
      <c r="B339" s="7" t="s">
        <v>366</v>
      </c>
      <c r="C339" s="7" t="str">
        <f t="shared" si="82"/>
        <v>47</v>
      </c>
      <c r="D339" s="7" t="str">
        <f>"02"</f>
        <v>02</v>
      </c>
      <c r="E339" s="7" t="str">
        <f>"20210234702"</f>
        <v>20210234702</v>
      </c>
      <c r="F339" s="7" t="s">
        <v>369</v>
      </c>
      <c r="G339" s="7">
        <v>68.5</v>
      </c>
      <c r="H339" s="7">
        <v>72</v>
      </c>
      <c r="I339" s="8">
        <f t="shared" si="77"/>
        <v>69.55</v>
      </c>
      <c r="J339" s="7">
        <v>81</v>
      </c>
      <c r="K339" s="7">
        <f t="shared" si="78"/>
        <v>74.13</v>
      </c>
    </row>
    <row r="340" ht="14.25" spans="1:11">
      <c r="A340" s="7">
        <v>338</v>
      </c>
      <c r="B340" s="7" t="s">
        <v>366</v>
      </c>
      <c r="C340" s="7" t="str">
        <f>"48"</f>
        <v>48</v>
      </c>
      <c r="D340" s="7" t="str">
        <f>"01"</f>
        <v>01</v>
      </c>
      <c r="E340" s="7" t="str">
        <f>"20210234801"</f>
        <v>20210234801</v>
      </c>
      <c r="F340" s="7" t="s">
        <v>370</v>
      </c>
      <c r="G340" s="7">
        <v>68</v>
      </c>
      <c r="H340" s="7">
        <v>84</v>
      </c>
      <c r="I340" s="8">
        <f t="shared" si="77"/>
        <v>72.8</v>
      </c>
      <c r="J340" s="7">
        <v>74.6</v>
      </c>
      <c r="K340" s="7">
        <f t="shared" si="78"/>
        <v>73.52</v>
      </c>
    </row>
    <row r="341" ht="14.25" spans="1:11">
      <c r="A341" s="7">
        <v>339</v>
      </c>
      <c r="B341" s="7" t="s">
        <v>366</v>
      </c>
      <c r="C341" s="7" t="str">
        <f t="shared" ref="C341:C344" si="83">"47"</f>
        <v>47</v>
      </c>
      <c r="D341" s="7" t="str">
        <f>"06"</f>
        <v>06</v>
      </c>
      <c r="E341" s="7" t="str">
        <f>"20210234706"</f>
        <v>20210234706</v>
      </c>
      <c r="F341" s="7" t="s">
        <v>371</v>
      </c>
      <c r="G341" s="7">
        <v>60</v>
      </c>
      <c r="H341" s="7">
        <v>81</v>
      </c>
      <c r="I341" s="8">
        <f t="shared" si="77"/>
        <v>66.3</v>
      </c>
      <c r="J341" s="7">
        <v>83.2</v>
      </c>
      <c r="K341" s="7">
        <f t="shared" si="78"/>
        <v>73.06</v>
      </c>
    </row>
    <row r="342" ht="14.25" spans="1:11">
      <c r="A342" s="7">
        <v>340</v>
      </c>
      <c r="B342" s="7" t="s">
        <v>366</v>
      </c>
      <c r="C342" s="7" t="str">
        <f t="shared" si="83"/>
        <v>47</v>
      </c>
      <c r="D342" s="7" t="str">
        <f>"13"</f>
        <v>13</v>
      </c>
      <c r="E342" s="7" t="str">
        <f>"20210234713"</f>
        <v>20210234713</v>
      </c>
      <c r="F342" s="7" t="s">
        <v>372</v>
      </c>
      <c r="G342" s="7">
        <v>70</v>
      </c>
      <c r="H342" s="7">
        <v>64</v>
      </c>
      <c r="I342" s="8">
        <f t="shared" si="77"/>
        <v>68.2</v>
      </c>
      <c r="J342" s="7">
        <v>80</v>
      </c>
      <c r="K342" s="7">
        <f t="shared" si="78"/>
        <v>72.92</v>
      </c>
    </row>
    <row r="343" ht="14.25" spans="1:11">
      <c r="A343" s="7">
        <v>341</v>
      </c>
      <c r="B343" s="7" t="s">
        <v>366</v>
      </c>
      <c r="C343" s="7" t="str">
        <f t="shared" si="83"/>
        <v>47</v>
      </c>
      <c r="D343" s="7" t="str">
        <f>"01"</f>
        <v>01</v>
      </c>
      <c r="E343" s="7" t="str">
        <f>"20210234701"</f>
        <v>20210234701</v>
      </c>
      <c r="F343" s="7" t="s">
        <v>373</v>
      </c>
      <c r="G343" s="7">
        <v>61</v>
      </c>
      <c r="H343" s="7">
        <v>80</v>
      </c>
      <c r="I343" s="8">
        <f t="shared" si="77"/>
        <v>66.7</v>
      </c>
      <c r="J343" s="7">
        <v>79.4</v>
      </c>
      <c r="K343" s="7">
        <f t="shared" si="78"/>
        <v>71.78</v>
      </c>
    </row>
    <row r="344" ht="14.25" spans="1:11">
      <c r="A344" s="7">
        <v>342</v>
      </c>
      <c r="B344" s="7" t="s">
        <v>366</v>
      </c>
      <c r="C344" s="7" t="str">
        <f t="shared" si="83"/>
        <v>47</v>
      </c>
      <c r="D344" s="7" t="str">
        <f>"12"</f>
        <v>12</v>
      </c>
      <c r="E344" s="7" t="str">
        <f>"20210234712"</f>
        <v>20210234712</v>
      </c>
      <c r="F344" s="7" t="s">
        <v>374</v>
      </c>
      <c r="G344" s="7">
        <v>68</v>
      </c>
      <c r="H344" s="7">
        <v>73</v>
      </c>
      <c r="I344" s="8">
        <f t="shared" si="77"/>
        <v>69.5</v>
      </c>
      <c r="J344" s="7">
        <v>74</v>
      </c>
      <c r="K344" s="7">
        <f t="shared" si="78"/>
        <v>71.3</v>
      </c>
    </row>
    <row r="345" ht="14.25" spans="1:11">
      <c r="A345" s="7">
        <v>343</v>
      </c>
      <c r="B345" s="7" t="s">
        <v>366</v>
      </c>
      <c r="C345" s="7" t="str">
        <f>"46"</f>
        <v>46</v>
      </c>
      <c r="D345" s="7" t="str">
        <f>"30"</f>
        <v>30</v>
      </c>
      <c r="E345" s="7" t="str">
        <f>"20210234630"</f>
        <v>20210234630</v>
      </c>
      <c r="F345" s="7" t="s">
        <v>375</v>
      </c>
      <c r="G345" s="7">
        <v>58</v>
      </c>
      <c r="H345" s="7">
        <v>66</v>
      </c>
      <c r="I345" s="8">
        <f t="shared" si="77"/>
        <v>60.4</v>
      </c>
      <c r="J345" s="7">
        <v>84.2</v>
      </c>
      <c r="K345" s="7">
        <f t="shared" si="78"/>
        <v>69.92</v>
      </c>
    </row>
    <row r="346" ht="14.25" spans="1:11">
      <c r="A346" s="7">
        <v>344</v>
      </c>
      <c r="B346" s="7" t="s">
        <v>366</v>
      </c>
      <c r="C346" s="7" t="str">
        <f t="shared" ref="C346:C352" si="84">"47"</f>
        <v>47</v>
      </c>
      <c r="D346" s="7" t="str">
        <f>"29"</f>
        <v>29</v>
      </c>
      <c r="E346" s="7" t="str">
        <f>"20210234729"</f>
        <v>20210234729</v>
      </c>
      <c r="F346" s="7" t="s">
        <v>376</v>
      </c>
      <c r="G346" s="7">
        <v>64</v>
      </c>
      <c r="H346" s="7">
        <v>67</v>
      </c>
      <c r="I346" s="8">
        <f t="shared" si="77"/>
        <v>64.9</v>
      </c>
      <c r="J346" s="7">
        <v>75.6</v>
      </c>
      <c r="K346" s="7">
        <f t="shared" si="78"/>
        <v>69.18</v>
      </c>
    </row>
    <row r="347" ht="14.25" spans="1:11">
      <c r="A347" s="7">
        <v>345</v>
      </c>
      <c r="B347" s="7" t="s">
        <v>366</v>
      </c>
      <c r="C347" s="7" t="str">
        <f>"46"</f>
        <v>46</v>
      </c>
      <c r="D347" s="7" t="str">
        <f>"28"</f>
        <v>28</v>
      </c>
      <c r="E347" s="7" t="str">
        <f>"20210234628"</f>
        <v>20210234628</v>
      </c>
      <c r="F347" s="7" t="s">
        <v>377</v>
      </c>
      <c r="G347" s="7">
        <v>53</v>
      </c>
      <c r="H347" s="7">
        <v>75</v>
      </c>
      <c r="I347" s="8">
        <f t="shared" si="77"/>
        <v>59.6</v>
      </c>
      <c r="J347" s="7">
        <v>80</v>
      </c>
      <c r="K347" s="7">
        <f t="shared" si="78"/>
        <v>67.76</v>
      </c>
    </row>
    <row r="348" ht="14.25" spans="1:11">
      <c r="A348" s="7">
        <v>346</v>
      </c>
      <c r="B348" s="7" t="s">
        <v>366</v>
      </c>
      <c r="C348" s="7" t="str">
        <f t="shared" si="84"/>
        <v>47</v>
      </c>
      <c r="D348" s="7" t="str">
        <f>"07"</f>
        <v>07</v>
      </c>
      <c r="E348" s="7" t="str">
        <f>"20210234707"</f>
        <v>20210234707</v>
      </c>
      <c r="F348" s="7" t="s">
        <v>378</v>
      </c>
      <c r="G348" s="7">
        <v>66</v>
      </c>
      <c r="H348" s="7">
        <v>60</v>
      </c>
      <c r="I348" s="8">
        <f t="shared" si="77"/>
        <v>64.2</v>
      </c>
      <c r="J348" s="7">
        <v>73</v>
      </c>
      <c r="K348" s="7">
        <f t="shared" si="78"/>
        <v>67.72</v>
      </c>
    </row>
    <row r="349" ht="14.25" spans="1:11">
      <c r="A349" s="7">
        <v>347</v>
      </c>
      <c r="B349" s="7" t="s">
        <v>366</v>
      </c>
      <c r="C349" s="7" t="str">
        <f t="shared" si="84"/>
        <v>47</v>
      </c>
      <c r="D349" s="7" t="str">
        <f>"30"</f>
        <v>30</v>
      </c>
      <c r="E349" s="7" t="str">
        <f>"20210234730"</f>
        <v>20210234730</v>
      </c>
      <c r="F349" s="7" t="s">
        <v>379</v>
      </c>
      <c r="G349" s="7">
        <v>51</v>
      </c>
      <c r="H349" s="7">
        <v>74</v>
      </c>
      <c r="I349" s="8">
        <f t="shared" si="77"/>
        <v>57.9</v>
      </c>
      <c r="J349" s="7">
        <v>78.2</v>
      </c>
      <c r="K349" s="7">
        <f t="shared" si="78"/>
        <v>66.02</v>
      </c>
    </row>
    <row r="350" ht="14.25" spans="1:11">
      <c r="A350" s="7">
        <v>348</v>
      </c>
      <c r="B350" s="7" t="s">
        <v>366</v>
      </c>
      <c r="C350" s="7" t="str">
        <f t="shared" si="84"/>
        <v>47</v>
      </c>
      <c r="D350" s="7" t="str">
        <f>"18"</f>
        <v>18</v>
      </c>
      <c r="E350" s="7" t="str">
        <f>"20210234718"</f>
        <v>20210234718</v>
      </c>
      <c r="F350" s="7" t="s">
        <v>380</v>
      </c>
      <c r="G350" s="7">
        <v>56</v>
      </c>
      <c r="H350" s="7">
        <v>66</v>
      </c>
      <c r="I350" s="8">
        <f t="shared" si="77"/>
        <v>59</v>
      </c>
      <c r="J350" s="7">
        <v>74.6</v>
      </c>
      <c r="K350" s="7">
        <f t="shared" si="78"/>
        <v>65.24</v>
      </c>
    </row>
    <row r="351" ht="14.25" spans="1:11">
      <c r="A351" s="7">
        <v>349</v>
      </c>
      <c r="B351" s="7" t="s">
        <v>366</v>
      </c>
      <c r="C351" s="7" t="str">
        <f t="shared" si="84"/>
        <v>47</v>
      </c>
      <c r="D351" s="7" t="str">
        <f>"11"</f>
        <v>11</v>
      </c>
      <c r="E351" s="7" t="str">
        <f>"20210234711"</f>
        <v>20210234711</v>
      </c>
      <c r="F351" s="7" t="s">
        <v>296</v>
      </c>
      <c r="G351" s="7">
        <v>55</v>
      </c>
      <c r="H351" s="7">
        <v>78</v>
      </c>
      <c r="I351" s="8">
        <f t="shared" si="77"/>
        <v>61.9</v>
      </c>
      <c r="J351" s="7">
        <v>67</v>
      </c>
      <c r="K351" s="7">
        <f t="shared" si="78"/>
        <v>63.94</v>
      </c>
    </row>
    <row r="352" ht="14.25" spans="1:11">
      <c r="A352" s="7">
        <v>350</v>
      </c>
      <c r="B352" s="7" t="s">
        <v>366</v>
      </c>
      <c r="C352" s="7" t="str">
        <f t="shared" si="84"/>
        <v>47</v>
      </c>
      <c r="D352" s="7" t="str">
        <f>"26"</f>
        <v>26</v>
      </c>
      <c r="E352" s="7" t="str">
        <f>"20210234726"</f>
        <v>20210234726</v>
      </c>
      <c r="F352" s="7" t="s">
        <v>381</v>
      </c>
      <c r="G352" s="7">
        <v>63.5</v>
      </c>
      <c r="H352" s="7">
        <v>59</v>
      </c>
      <c r="I352" s="8">
        <f t="shared" si="77"/>
        <v>62.15</v>
      </c>
      <c r="J352" s="7">
        <v>66</v>
      </c>
      <c r="K352" s="7">
        <f t="shared" si="78"/>
        <v>63.69</v>
      </c>
    </row>
    <row r="353" ht="14.25" spans="1:11">
      <c r="A353" s="7">
        <v>351</v>
      </c>
      <c r="B353" s="7" t="s">
        <v>382</v>
      </c>
      <c r="C353" s="7" t="str">
        <f>"49"</f>
        <v>49</v>
      </c>
      <c r="D353" s="7" t="str">
        <f>"03"</f>
        <v>03</v>
      </c>
      <c r="E353" s="7" t="str">
        <f>"20210244903"</f>
        <v>20210244903</v>
      </c>
      <c r="F353" s="7" t="s">
        <v>383</v>
      </c>
      <c r="G353" s="7">
        <v>86</v>
      </c>
      <c r="H353" s="7">
        <v>78</v>
      </c>
      <c r="I353" s="8">
        <f t="shared" si="77"/>
        <v>83.6</v>
      </c>
      <c r="J353" s="7">
        <v>80.3</v>
      </c>
      <c r="K353" s="7">
        <f t="shared" si="78"/>
        <v>82.28</v>
      </c>
    </row>
    <row r="354" ht="14.25" spans="1:11">
      <c r="A354" s="7">
        <v>352</v>
      </c>
      <c r="B354" s="7" t="s">
        <v>382</v>
      </c>
      <c r="C354" s="7" t="str">
        <f t="shared" ref="C354:C357" si="85">"48"</f>
        <v>48</v>
      </c>
      <c r="D354" s="7" t="str">
        <f>"17"</f>
        <v>17</v>
      </c>
      <c r="E354" s="7" t="str">
        <f>"20210244817"</f>
        <v>20210244817</v>
      </c>
      <c r="F354" s="7" t="s">
        <v>384</v>
      </c>
      <c r="G354" s="7">
        <v>61</v>
      </c>
      <c r="H354" s="7">
        <v>70</v>
      </c>
      <c r="I354" s="8">
        <f t="shared" si="77"/>
        <v>63.7</v>
      </c>
      <c r="J354" s="7">
        <v>86.8</v>
      </c>
      <c r="K354" s="7">
        <f t="shared" si="78"/>
        <v>72.94</v>
      </c>
    </row>
    <row r="355" ht="14.25" spans="1:11">
      <c r="A355" s="7">
        <v>353</v>
      </c>
      <c r="B355" s="7" t="s">
        <v>382</v>
      </c>
      <c r="C355" s="7" t="str">
        <f t="shared" si="85"/>
        <v>48</v>
      </c>
      <c r="D355" s="7" t="str">
        <f>"16"</f>
        <v>16</v>
      </c>
      <c r="E355" s="7" t="str">
        <f>"20210244816"</f>
        <v>20210244816</v>
      </c>
      <c r="F355" s="7" t="s">
        <v>385</v>
      </c>
      <c r="G355" s="7">
        <v>69.5</v>
      </c>
      <c r="H355" s="7">
        <v>73</v>
      </c>
      <c r="I355" s="8">
        <f t="shared" si="77"/>
        <v>70.55</v>
      </c>
      <c r="J355" s="7">
        <v>73.8</v>
      </c>
      <c r="K355" s="7">
        <f t="shared" si="78"/>
        <v>71.85</v>
      </c>
    </row>
    <row r="356" ht="14.25" spans="1:11">
      <c r="A356" s="7">
        <v>354</v>
      </c>
      <c r="B356" s="7" t="s">
        <v>382</v>
      </c>
      <c r="C356" s="7" t="str">
        <f t="shared" si="85"/>
        <v>48</v>
      </c>
      <c r="D356" s="7" t="str">
        <f>"19"</f>
        <v>19</v>
      </c>
      <c r="E356" s="7" t="str">
        <f>"20210244819"</f>
        <v>20210244819</v>
      </c>
      <c r="F356" s="7" t="s">
        <v>386</v>
      </c>
      <c r="G356" s="7">
        <v>61.5</v>
      </c>
      <c r="H356" s="7">
        <v>73</v>
      </c>
      <c r="I356" s="8">
        <f t="shared" si="77"/>
        <v>64.95</v>
      </c>
      <c r="J356" s="7">
        <v>81.4</v>
      </c>
      <c r="K356" s="7">
        <f t="shared" si="78"/>
        <v>71.53</v>
      </c>
    </row>
    <row r="357" ht="14.25" spans="1:11">
      <c r="A357" s="7">
        <v>355</v>
      </c>
      <c r="B357" s="7" t="s">
        <v>382</v>
      </c>
      <c r="C357" s="7" t="str">
        <f t="shared" si="85"/>
        <v>48</v>
      </c>
      <c r="D357" s="7" t="str">
        <f>"26"</f>
        <v>26</v>
      </c>
      <c r="E357" s="7" t="str">
        <f>"20210244826"</f>
        <v>20210244826</v>
      </c>
      <c r="F357" s="7" t="s">
        <v>387</v>
      </c>
      <c r="G357" s="7">
        <v>62</v>
      </c>
      <c r="H357" s="7">
        <v>69</v>
      </c>
      <c r="I357" s="8">
        <f t="shared" si="77"/>
        <v>64.1</v>
      </c>
      <c r="J357" s="7">
        <v>80.4</v>
      </c>
      <c r="K357" s="7">
        <f t="shared" si="78"/>
        <v>70.62</v>
      </c>
    </row>
    <row r="358" ht="14.25" spans="1:11">
      <c r="A358" s="7">
        <v>356</v>
      </c>
      <c r="B358" s="7" t="s">
        <v>382</v>
      </c>
      <c r="C358" s="7" t="str">
        <f t="shared" ref="C358:C361" si="86">"49"</f>
        <v>49</v>
      </c>
      <c r="D358" s="7" t="str">
        <f>"09"</f>
        <v>09</v>
      </c>
      <c r="E358" s="7" t="str">
        <f>"20210244909"</f>
        <v>20210244909</v>
      </c>
      <c r="F358" s="7" t="s">
        <v>388</v>
      </c>
      <c r="G358" s="7">
        <v>59</v>
      </c>
      <c r="H358" s="7">
        <v>83</v>
      </c>
      <c r="I358" s="8">
        <f t="shared" si="77"/>
        <v>66.2</v>
      </c>
      <c r="J358" s="7">
        <v>76.8</v>
      </c>
      <c r="K358" s="7">
        <f t="shared" si="78"/>
        <v>70.44</v>
      </c>
    </row>
    <row r="359" ht="14.25" spans="1:11">
      <c r="A359" s="7">
        <v>357</v>
      </c>
      <c r="B359" s="7" t="s">
        <v>382</v>
      </c>
      <c r="C359" s="7" t="str">
        <f t="shared" si="86"/>
        <v>49</v>
      </c>
      <c r="D359" s="7" t="str">
        <f>"11"</f>
        <v>11</v>
      </c>
      <c r="E359" s="7" t="str">
        <f>"20210244911"</f>
        <v>20210244911</v>
      </c>
      <c r="F359" s="7" t="s">
        <v>389</v>
      </c>
      <c r="G359" s="7">
        <v>61</v>
      </c>
      <c r="H359" s="7">
        <v>75</v>
      </c>
      <c r="I359" s="8">
        <f t="shared" si="77"/>
        <v>65.2</v>
      </c>
      <c r="J359" s="7">
        <v>77.8</v>
      </c>
      <c r="K359" s="7">
        <f t="shared" si="78"/>
        <v>70.24</v>
      </c>
    </row>
    <row r="360" ht="14.25" spans="1:11">
      <c r="A360" s="7">
        <v>358</v>
      </c>
      <c r="B360" s="7" t="s">
        <v>382</v>
      </c>
      <c r="C360" s="7" t="str">
        <f t="shared" si="86"/>
        <v>49</v>
      </c>
      <c r="D360" s="7" t="str">
        <f>"23"</f>
        <v>23</v>
      </c>
      <c r="E360" s="7" t="str">
        <f>"20210244923"</f>
        <v>20210244923</v>
      </c>
      <c r="F360" s="7" t="s">
        <v>390</v>
      </c>
      <c r="G360" s="7">
        <v>58.5</v>
      </c>
      <c r="H360" s="7">
        <v>61</v>
      </c>
      <c r="I360" s="8">
        <f t="shared" si="77"/>
        <v>59.25</v>
      </c>
      <c r="J360" s="7">
        <v>84.6</v>
      </c>
      <c r="K360" s="7">
        <f t="shared" si="78"/>
        <v>69.39</v>
      </c>
    </row>
    <row r="361" ht="14.25" spans="1:11">
      <c r="A361" s="7">
        <v>359</v>
      </c>
      <c r="B361" s="7" t="s">
        <v>382</v>
      </c>
      <c r="C361" s="7" t="str">
        <f t="shared" si="86"/>
        <v>49</v>
      </c>
      <c r="D361" s="7" t="str">
        <f>"21"</f>
        <v>21</v>
      </c>
      <c r="E361" s="7" t="str">
        <f>"20210244921"</f>
        <v>20210244921</v>
      </c>
      <c r="F361" s="7" t="s">
        <v>391</v>
      </c>
      <c r="G361" s="7">
        <v>63.5</v>
      </c>
      <c r="H361" s="7">
        <v>54</v>
      </c>
      <c r="I361" s="8">
        <f t="shared" si="77"/>
        <v>60.65</v>
      </c>
      <c r="J361" s="7">
        <v>81.6</v>
      </c>
      <c r="K361" s="7">
        <f t="shared" si="78"/>
        <v>69.03</v>
      </c>
    </row>
    <row r="362" ht="14.25" spans="1:11">
      <c r="A362" s="7">
        <v>360</v>
      </c>
      <c r="B362" s="7" t="s">
        <v>382</v>
      </c>
      <c r="C362" s="7" t="str">
        <f t="shared" ref="C362:C365" si="87">"48"</f>
        <v>48</v>
      </c>
      <c r="D362" s="7" t="str">
        <f>"06"</f>
        <v>06</v>
      </c>
      <c r="E362" s="7" t="str">
        <f>"20210244806"</f>
        <v>20210244806</v>
      </c>
      <c r="F362" s="7" t="s">
        <v>392</v>
      </c>
      <c r="G362" s="7">
        <v>65.5</v>
      </c>
      <c r="H362" s="7">
        <v>50</v>
      </c>
      <c r="I362" s="8">
        <f t="shared" si="77"/>
        <v>60.85</v>
      </c>
      <c r="J362" s="7">
        <v>78.5</v>
      </c>
      <c r="K362" s="7">
        <f t="shared" si="78"/>
        <v>67.91</v>
      </c>
    </row>
    <row r="363" ht="14.25" spans="1:11">
      <c r="A363" s="7">
        <v>361</v>
      </c>
      <c r="B363" s="7" t="s">
        <v>382</v>
      </c>
      <c r="C363" s="7" t="str">
        <f t="shared" si="87"/>
        <v>48</v>
      </c>
      <c r="D363" s="7" t="str">
        <f>"28"</f>
        <v>28</v>
      </c>
      <c r="E363" s="7" t="str">
        <f>"20210244828"</f>
        <v>20210244828</v>
      </c>
      <c r="F363" s="7" t="s">
        <v>393</v>
      </c>
      <c r="G363" s="7">
        <v>53</v>
      </c>
      <c r="H363" s="7">
        <v>77</v>
      </c>
      <c r="I363" s="8">
        <f t="shared" si="77"/>
        <v>60.2</v>
      </c>
      <c r="J363" s="7">
        <v>79</v>
      </c>
      <c r="K363" s="7">
        <f t="shared" si="78"/>
        <v>67.72</v>
      </c>
    </row>
    <row r="364" ht="14.25" spans="1:11">
      <c r="A364" s="7">
        <v>362</v>
      </c>
      <c r="B364" s="7" t="s">
        <v>382</v>
      </c>
      <c r="C364" s="7" t="str">
        <f t="shared" si="87"/>
        <v>48</v>
      </c>
      <c r="D364" s="7" t="str">
        <f>"05"</f>
        <v>05</v>
      </c>
      <c r="E364" s="7" t="str">
        <f>"20210244805"</f>
        <v>20210244805</v>
      </c>
      <c r="F364" s="7" t="s">
        <v>394</v>
      </c>
      <c r="G364" s="7">
        <v>59</v>
      </c>
      <c r="H364" s="7">
        <v>66</v>
      </c>
      <c r="I364" s="8">
        <f t="shared" si="77"/>
        <v>61.1</v>
      </c>
      <c r="J364" s="7">
        <v>76.8</v>
      </c>
      <c r="K364" s="7">
        <f t="shared" si="78"/>
        <v>67.38</v>
      </c>
    </row>
    <row r="365" ht="14.25" spans="1:11">
      <c r="A365" s="7">
        <v>363</v>
      </c>
      <c r="B365" s="7" t="s">
        <v>382</v>
      </c>
      <c r="C365" s="7" t="str">
        <f t="shared" si="87"/>
        <v>48</v>
      </c>
      <c r="D365" s="7" t="str">
        <f>"25"</f>
        <v>25</v>
      </c>
      <c r="E365" s="7" t="str">
        <f>"20210244825"</f>
        <v>20210244825</v>
      </c>
      <c r="F365" s="7" t="s">
        <v>395</v>
      </c>
      <c r="G365" s="7">
        <v>48</v>
      </c>
      <c r="H365" s="7">
        <v>71</v>
      </c>
      <c r="I365" s="8">
        <f t="shared" si="77"/>
        <v>54.9</v>
      </c>
      <c r="J365" s="7">
        <v>85.3</v>
      </c>
      <c r="K365" s="7">
        <f t="shared" si="78"/>
        <v>67.06</v>
      </c>
    </row>
    <row r="366" ht="14.25" spans="1:11">
      <c r="A366" s="7">
        <v>364</v>
      </c>
      <c r="B366" s="7" t="s">
        <v>382</v>
      </c>
      <c r="C366" s="7" t="str">
        <f>"49"</f>
        <v>49</v>
      </c>
      <c r="D366" s="7" t="str">
        <f>"07"</f>
        <v>07</v>
      </c>
      <c r="E366" s="7" t="str">
        <f>"20210244907"</f>
        <v>20210244907</v>
      </c>
      <c r="F366" s="7" t="s">
        <v>396</v>
      </c>
      <c r="G366" s="7">
        <v>56.5</v>
      </c>
      <c r="H366" s="7">
        <v>57</v>
      </c>
      <c r="I366" s="8">
        <f t="shared" si="77"/>
        <v>56.65</v>
      </c>
      <c r="J366" s="7">
        <v>82.2</v>
      </c>
      <c r="K366" s="7">
        <f t="shared" si="78"/>
        <v>66.87</v>
      </c>
    </row>
    <row r="367" ht="14.25" spans="1:11">
      <c r="A367" s="7">
        <v>365</v>
      </c>
      <c r="B367" s="7" t="s">
        <v>382</v>
      </c>
      <c r="C367" s="7" t="str">
        <f>"48"</f>
        <v>48</v>
      </c>
      <c r="D367" s="7" t="str">
        <f>"13"</f>
        <v>13</v>
      </c>
      <c r="E367" s="7" t="str">
        <f>"20210244813"</f>
        <v>20210244813</v>
      </c>
      <c r="F367" s="7" t="s">
        <v>397</v>
      </c>
      <c r="G367" s="7">
        <v>58</v>
      </c>
      <c r="H367" s="7">
        <v>74</v>
      </c>
      <c r="I367" s="8">
        <f t="shared" si="77"/>
        <v>62.8</v>
      </c>
      <c r="J367" s="7">
        <v>69.8</v>
      </c>
      <c r="K367" s="7">
        <f t="shared" si="78"/>
        <v>65.6</v>
      </c>
    </row>
    <row r="368" ht="14.25" spans="1:11">
      <c r="A368" s="7">
        <v>366</v>
      </c>
      <c r="B368" s="7" t="s">
        <v>382</v>
      </c>
      <c r="C368" s="7" t="str">
        <f>"48"</f>
        <v>48</v>
      </c>
      <c r="D368" s="7" t="str">
        <f>"23"</f>
        <v>23</v>
      </c>
      <c r="E368" s="7" t="str">
        <f>"20210244823"</f>
        <v>20210244823</v>
      </c>
      <c r="F368" s="7" t="s">
        <v>398</v>
      </c>
      <c r="G368" s="7">
        <v>54</v>
      </c>
      <c r="H368" s="7">
        <v>48</v>
      </c>
      <c r="I368" s="8">
        <f t="shared" si="77"/>
        <v>52.2</v>
      </c>
      <c r="J368" s="7">
        <v>83.8</v>
      </c>
      <c r="K368" s="7">
        <f t="shared" si="78"/>
        <v>64.84</v>
      </c>
    </row>
    <row r="369" ht="14.25" spans="1:11">
      <c r="A369" s="7">
        <v>367</v>
      </c>
      <c r="B369" s="7" t="s">
        <v>399</v>
      </c>
      <c r="C369" s="7" t="str">
        <f t="shared" ref="C369:C374" si="88">"50"</f>
        <v>50</v>
      </c>
      <c r="D369" s="7" t="str">
        <f>"09"</f>
        <v>09</v>
      </c>
      <c r="E369" s="7" t="str">
        <f>"20210255009"</f>
        <v>20210255009</v>
      </c>
      <c r="F369" s="7" t="s">
        <v>400</v>
      </c>
      <c r="G369" s="7">
        <v>81</v>
      </c>
      <c r="H369" s="7">
        <v>82</v>
      </c>
      <c r="I369" s="8">
        <f t="shared" si="77"/>
        <v>81.3</v>
      </c>
      <c r="J369" s="7">
        <v>73.2</v>
      </c>
      <c r="K369" s="7">
        <f t="shared" si="78"/>
        <v>78.06</v>
      </c>
    </row>
    <row r="370" ht="14.25" spans="1:11">
      <c r="A370" s="7">
        <v>368</v>
      </c>
      <c r="B370" s="7" t="s">
        <v>399</v>
      </c>
      <c r="C370" s="7" t="str">
        <f>"49"</f>
        <v>49</v>
      </c>
      <c r="D370" s="7" t="str">
        <f>"28"</f>
        <v>28</v>
      </c>
      <c r="E370" s="7" t="str">
        <f>"20210254928"</f>
        <v>20210254928</v>
      </c>
      <c r="F370" s="7" t="s">
        <v>401</v>
      </c>
      <c r="G370" s="7">
        <v>62</v>
      </c>
      <c r="H370" s="7">
        <v>73</v>
      </c>
      <c r="I370" s="8">
        <f t="shared" si="77"/>
        <v>65.3</v>
      </c>
      <c r="J370" s="7">
        <v>85.2</v>
      </c>
      <c r="K370" s="7">
        <f t="shared" si="78"/>
        <v>73.26</v>
      </c>
    </row>
    <row r="371" ht="14.25" spans="1:11">
      <c r="A371" s="7">
        <v>369</v>
      </c>
      <c r="B371" s="7" t="s">
        <v>399</v>
      </c>
      <c r="C371" s="7" t="str">
        <f t="shared" si="88"/>
        <v>50</v>
      </c>
      <c r="D371" s="7" t="str">
        <f>"26"</f>
        <v>26</v>
      </c>
      <c r="E371" s="7" t="str">
        <f>"20210255026"</f>
        <v>20210255026</v>
      </c>
      <c r="F371" s="7" t="s">
        <v>402</v>
      </c>
      <c r="G371" s="7">
        <v>60</v>
      </c>
      <c r="H371" s="7">
        <v>74</v>
      </c>
      <c r="I371" s="8">
        <f t="shared" si="77"/>
        <v>64.2</v>
      </c>
      <c r="J371" s="7">
        <v>86</v>
      </c>
      <c r="K371" s="7">
        <f t="shared" si="78"/>
        <v>72.92</v>
      </c>
    </row>
    <row r="372" ht="14.25" spans="1:11">
      <c r="A372" s="7">
        <v>370</v>
      </c>
      <c r="B372" s="7" t="s">
        <v>399</v>
      </c>
      <c r="C372" s="7" t="str">
        <f>"49"</f>
        <v>49</v>
      </c>
      <c r="D372" s="7" t="str">
        <f>"29"</f>
        <v>29</v>
      </c>
      <c r="E372" s="7" t="str">
        <f>"20210254929"</f>
        <v>20210254929</v>
      </c>
      <c r="F372" s="7" t="s">
        <v>403</v>
      </c>
      <c r="G372" s="7">
        <v>66</v>
      </c>
      <c r="H372" s="7">
        <v>82</v>
      </c>
      <c r="I372" s="8">
        <f t="shared" si="77"/>
        <v>70.8</v>
      </c>
      <c r="J372" s="7">
        <v>75.2</v>
      </c>
      <c r="K372" s="7">
        <f t="shared" si="78"/>
        <v>72.56</v>
      </c>
    </row>
    <row r="373" ht="14.25" spans="1:11">
      <c r="A373" s="7">
        <v>371</v>
      </c>
      <c r="B373" s="7" t="s">
        <v>399</v>
      </c>
      <c r="C373" s="7" t="str">
        <f t="shared" si="88"/>
        <v>50</v>
      </c>
      <c r="D373" s="7" t="str">
        <f>"18"</f>
        <v>18</v>
      </c>
      <c r="E373" s="7" t="str">
        <f>"20210255018"</f>
        <v>20210255018</v>
      </c>
      <c r="F373" s="7" t="s">
        <v>404</v>
      </c>
      <c r="G373" s="7">
        <v>71</v>
      </c>
      <c r="H373" s="7">
        <v>68</v>
      </c>
      <c r="I373" s="8">
        <f t="shared" si="77"/>
        <v>70.1</v>
      </c>
      <c r="J373" s="7">
        <v>76.2</v>
      </c>
      <c r="K373" s="7">
        <f t="shared" si="78"/>
        <v>72.54</v>
      </c>
    </row>
    <row r="374" ht="14.25" spans="1:11">
      <c r="A374" s="7">
        <v>372</v>
      </c>
      <c r="B374" s="7" t="s">
        <v>399</v>
      </c>
      <c r="C374" s="7" t="str">
        <f t="shared" si="88"/>
        <v>50</v>
      </c>
      <c r="D374" s="7" t="str">
        <f>"11"</f>
        <v>11</v>
      </c>
      <c r="E374" s="7" t="str">
        <f>"20210255011"</f>
        <v>20210255011</v>
      </c>
      <c r="F374" s="7" t="s">
        <v>405</v>
      </c>
      <c r="G374" s="7">
        <v>68.5</v>
      </c>
      <c r="H374" s="7">
        <v>66</v>
      </c>
      <c r="I374" s="8">
        <f t="shared" si="77"/>
        <v>67.75</v>
      </c>
      <c r="J374" s="7">
        <v>76.8</v>
      </c>
      <c r="K374" s="7">
        <f t="shared" si="78"/>
        <v>71.37</v>
      </c>
    </row>
    <row r="375" ht="14.25" spans="1:11">
      <c r="A375" s="7">
        <v>373</v>
      </c>
      <c r="B375" s="7" t="s">
        <v>399</v>
      </c>
      <c r="C375" s="7" t="str">
        <f t="shared" ref="C375:C380" si="89">"51"</f>
        <v>51</v>
      </c>
      <c r="D375" s="7" t="str">
        <f>"01"</f>
        <v>01</v>
      </c>
      <c r="E375" s="7" t="str">
        <f>"20210255101"</f>
        <v>20210255101</v>
      </c>
      <c r="F375" s="7" t="s">
        <v>406</v>
      </c>
      <c r="G375" s="7">
        <v>65</v>
      </c>
      <c r="H375" s="7">
        <v>83</v>
      </c>
      <c r="I375" s="8">
        <f t="shared" si="77"/>
        <v>70.4</v>
      </c>
      <c r="J375" s="7">
        <v>72.6</v>
      </c>
      <c r="K375" s="7">
        <f t="shared" si="78"/>
        <v>71.28</v>
      </c>
    </row>
    <row r="376" ht="14.25" spans="1:11">
      <c r="A376" s="7">
        <v>374</v>
      </c>
      <c r="B376" s="7" t="s">
        <v>399</v>
      </c>
      <c r="C376" s="7" t="str">
        <f>"49"</f>
        <v>49</v>
      </c>
      <c r="D376" s="7" t="str">
        <f>"26"</f>
        <v>26</v>
      </c>
      <c r="E376" s="7" t="str">
        <f>"20210254926"</f>
        <v>20210254926</v>
      </c>
      <c r="F376" s="7" t="s">
        <v>407</v>
      </c>
      <c r="G376" s="7">
        <v>62.5</v>
      </c>
      <c r="H376" s="7">
        <v>64</v>
      </c>
      <c r="I376" s="8">
        <f t="shared" si="77"/>
        <v>62.95</v>
      </c>
      <c r="J376" s="7">
        <v>80.6</v>
      </c>
      <c r="K376" s="7">
        <f t="shared" si="78"/>
        <v>70.01</v>
      </c>
    </row>
    <row r="377" ht="14.25" spans="1:11">
      <c r="A377" s="7">
        <v>375</v>
      </c>
      <c r="B377" s="7" t="s">
        <v>399</v>
      </c>
      <c r="C377" s="7" t="str">
        <f>"50"</f>
        <v>50</v>
      </c>
      <c r="D377" s="7" t="str">
        <f>"04"</f>
        <v>04</v>
      </c>
      <c r="E377" s="7" t="str">
        <f>"20210255004"</f>
        <v>20210255004</v>
      </c>
      <c r="F377" s="7" t="s">
        <v>408</v>
      </c>
      <c r="G377" s="7">
        <v>62</v>
      </c>
      <c r="H377" s="7">
        <v>72</v>
      </c>
      <c r="I377" s="8">
        <f t="shared" si="77"/>
        <v>65</v>
      </c>
      <c r="J377" s="7">
        <v>71.6</v>
      </c>
      <c r="K377" s="7">
        <f t="shared" si="78"/>
        <v>67.64</v>
      </c>
    </row>
    <row r="378" ht="14.25" spans="1:11">
      <c r="A378" s="7">
        <v>376</v>
      </c>
      <c r="B378" s="7" t="s">
        <v>399</v>
      </c>
      <c r="C378" s="7" t="str">
        <f t="shared" si="89"/>
        <v>51</v>
      </c>
      <c r="D378" s="7" t="str">
        <f>"05"</f>
        <v>05</v>
      </c>
      <c r="E378" s="7" t="str">
        <f>"20210255105"</f>
        <v>20210255105</v>
      </c>
      <c r="F378" s="7" t="s">
        <v>409</v>
      </c>
      <c r="G378" s="7">
        <v>59</v>
      </c>
      <c r="H378" s="7">
        <v>75</v>
      </c>
      <c r="I378" s="8">
        <f t="shared" si="77"/>
        <v>63.8</v>
      </c>
      <c r="J378" s="7">
        <v>72.4</v>
      </c>
      <c r="K378" s="7">
        <f t="shared" si="78"/>
        <v>67.24</v>
      </c>
    </row>
    <row r="379" ht="14.25" spans="1:11">
      <c r="A379" s="7">
        <v>377</v>
      </c>
      <c r="B379" s="7" t="s">
        <v>399</v>
      </c>
      <c r="C379" s="7" t="str">
        <f t="shared" si="89"/>
        <v>51</v>
      </c>
      <c r="D379" s="7" t="str">
        <f>"04"</f>
        <v>04</v>
      </c>
      <c r="E379" s="7" t="str">
        <f>"20210255104"</f>
        <v>20210255104</v>
      </c>
      <c r="F379" s="7" t="s">
        <v>410</v>
      </c>
      <c r="G379" s="7">
        <v>67</v>
      </c>
      <c r="H379" s="7">
        <v>53</v>
      </c>
      <c r="I379" s="8">
        <f t="shared" si="77"/>
        <v>62.8</v>
      </c>
      <c r="J379" s="7">
        <v>70.2</v>
      </c>
      <c r="K379" s="7">
        <f t="shared" si="78"/>
        <v>65.76</v>
      </c>
    </row>
    <row r="380" ht="14.25" spans="1:11">
      <c r="A380" s="7">
        <v>378</v>
      </c>
      <c r="B380" s="7" t="s">
        <v>399</v>
      </c>
      <c r="C380" s="7" t="str">
        <f t="shared" si="89"/>
        <v>51</v>
      </c>
      <c r="D380" s="7" t="str">
        <f>"03"</f>
        <v>03</v>
      </c>
      <c r="E380" s="7" t="str">
        <f>"20210255103"</f>
        <v>20210255103</v>
      </c>
      <c r="F380" s="7" t="s">
        <v>411</v>
      </c>
      <c r="G380" s="7">
        <v>65.5</v>
      </c>
      <c r="H380" s="7">
        <v>65</v>
      </c>
      <c r="I380" s="8">
        <f t="shared" si="77"/>
        <v>65.35</v>
      </c>
      <c r="J380" s="7">
        <v>64.4</v>
      </c>
      <c r="K380" s="7">
        <f t="shared" si="78"/>
        <v>64.97</v>
      </c>
    </row>
    <row r="381" ht="14.25" spans="1:11">
      <c r="A381" s="7">
        <v>379</v>
      </c>
      <c r="B381" s="7" t="s">
        <v>399</v>
      </c>
      <c r="C381" s="7" t="str">
        <f>"49"</f>
        <v>49</v>
      </c>
      <c r="D381" s="7" t="str">
        <f>"30"</f>
        <v>30</v>
      </c>
      <c r="E381" s="7" t="str">
        <f>"20210254930"</f>
        <v>20210254930</v>
      </c>
      <c r="F381" s="7" t="s">
        <v>412</v>
      </c>
      <c r="G381" s="7">
        <v>56</v>
      </c>
      <c r="H381" s="7">
        <v>57</v>
      </c>
      <c r="I381" s="8">
        <f t="shared" si="77"/>
        <v>56.3</v>
      </c>
      <c r="J381" s="7">
        <v>76.8</v>
      </c>
      <c r="K381" s="7">
        <f t="shared" si="78"/>
        <v>64.5</v>
      </c>
    </row>
    <row r="382" ht="14.25" spans="1:11">
      <c r="A382" s="7">
        <v>380</v>
      </c>
      <c r="B382" s="7" t="s">
        <v>399</v>
      </c>
      <c r="C382" s="7" t="str">
        <f>"50"</f>
        <v>50</v>
      </c>
      <c r="D382" s="7" t="str">
        <f>"12"</f>
        <v>12</v>
      </c>
      <c r="E382" s="7" t="str">
        <f>"20210255012"</f>
        <v>20210255012</v>
      </c>
      <c r="F382" s="7" t="s">
        <v>413</v>
      </c>
      <c r="G382" s="7">
        <v>59</v>
      </c>
      <c r="H382" s="7">
        <v>59</v>
      </c>
      <c r="I382" s="8">
        <f t="shared" si="77"/>
        <v>59</v>
      </c>
      <c r="J382" s="7">
        <v>72.2</v>
      </c>
      <c r="K382" s="7">
        <f t="shared" si="78"/>
        <v>64.28</v>
      </c>
    </row>
    <row r="383" ht="14.25" spans="1:11">
      <c r="A383" s="7">
        <v>381</v>
      </c>
      <c r="B383" s="7" t="s">
        <v>399</v>
      </c>
      <c r="C383" s="7" t="str">
        <f>"50"</f>
        <v>50</v>
      </c>
      <c r="D383" s="7" t="str">
        <f>"21"</f>
        <v>21</v>
      </c>
      <c r="E383" s="7" t="str">
        <f>"20210255021"</f>
        <v>20210255021</v>
      </c>
      <c r="F383" s="7" t="s">
        <v>414</v>
      </c>
      <c r="G383" s="7">
        <v>53.5</v>
      </c>
      <c r="H383" s="7">
        <v>68</v>
      </c>
      <c r="I383" s="8">
        <f t="shared" si="77"/>
        <v>57.85</v>
      </c>
      <c r="J383" s="7">
        <v>72.8</v>
      </c>
      <c r="K383" s="7">
        <f t="shared" si="78"/>
        <v>63.83</v>
      </c>
    </row>
    <row r="384" ht="14.25" spans="1:11">
      <c r="A384" s="7">
        <v>382</v>
      </c>
      <c r="B384" s="7" t="s">
        <v>399</v>
      </c>
      <c r="C384" s="7" t="str">
        <f t="shared" ref="C384:C387" si="90">"51"</f>
        <v>51</v>
      </c>
      <c r="D384" s="7" t="str">
        <f>"06"</f>
        <v>06</v>
      </c>
      <c r="E384" s="7" t="str">
        <f>"20210255106"</f>
        <v>20210255106</v>
      </c>
      <c r="F384" s="7" t="s">
        <v>415</v>
      </c>
      <c r="G384" s="7">
        <v>45</v>
      </c>
      <c r="H384" s="7">
        <v>66</v>
      </c>
      <c r="I384" s="8">
        <f t="shared" si="77"/>
        <v>51.3</v>
      </c>
      <c r="J384" s="7">
        <v>80.6</v>
      </c>
      <c r="K384" s="7">
        <f t="shared" si="78"/>
        <v>63.02</v>
      </c>
    </row>
    <row r="385" ht="14.25" spans="1:11">
      <c r="A385" s="7">
        <v>383</v>
      </c>
      <c r="B385" s="7" t="s">
        <v>416</v>
      </c>
      <c r="C385" s="7" t="str">
        <f t="shared" si="90"/>
        <v>51</v>
      </c>
      <c r="D385" s="7" t="str">
        <f>"29"</f>
        <v>29</v>
      </c>
      <c r="E385" s="7" t="str">
        <f>"20210265129"</f>
        <v>20210265129</v>
      </c>
      <c r="F385" s="7" t="s">
        <v>417</v>
      </c>
      <c r="G385" s="7">
        <v>72</v>
      </c>
      <c r="H385" s="7">
        <v>85</v>
      </c>
      <c r="I385" s="8">
        <f t="shared" si="77"/>
        <v>75.9</v>
      </c>
      <c r="J385" s="7">
        <v>82.2</v>
      </c>
      <c r="K385" s="7">
        <f t="shared" si="78"/>
        <v>78.42</v>
      </c>
    </row>
    <row r="386" ht="14.25" spans="1:11">
      <c r="A386" s="7">
        <v>384</v>
      </c>
      <c r="B386" s="7" t="s">
        <v>416</v>
      </c>
      <c r="C386" s="7" t="str">
        <f t="shared" ref="C386:C391" si="91">"52"</f>
        <v>52</v>
      </c>
      <c r="D386" s="7" t="str">
        <f>"21"</f>
        <v>21</v>
      </c>
      <c r="E386" s="7" t="str">
        <f>"20210265221"</f>
        <v>20210265221</v>
      </c>
      <c r="F386" s="7" t="s">
        <v>418</v>
      </c>
      <c r="G386" s="7">
        <v>67.5</v>
      </c>
      <c r="H386" s="7">
        <v>80</v>
      </c>
      <c r="I386" s="8">
        <f t="shared" si="77"/>
        <v>71.25</v>
      </c>
      <c r="J386" s="7">
        <v>85.6</v>
      </c>
      <c r="K386" s="7">
        <f t="shared" si="78"/>
        <v>76.99</v>
      </c>
    </row>
    <row r="387" ht="14.25" spans="1:11">
      <c r="A387" s="7">
        <v>385</v>
      </c>
      <c r="B387" s="7" t="s">
        <v>416</v>
      </c>
      <c r="C387" s="7" t="str">
        <f t="shared" si="90"/>
        <v>51</v>
      </c>
      <c r="D387" s="7" t="str">
        <f>"28"</f>
        <v>28</v>
      </c>
      <c r="E387" s="7" t="str">
        <f>"20210265128"</f>
        <v>20210265128</v>
      </c>
      <c r="F387" s="7" t="s">
        <v>419</v>
      </c>
      <c r="G387" s="7">
        <v>64</v>
      </c>
      <c r="H387" s="7">
        <v>78</v>
      </c>
      <c r="I387" s="8">
        <f t="shared" ref="I387:I432" si="92">G387*0.7+H387*0.3</f>
        <v>68.2</v>
      </c>
      <c r="J387" s="7">
        <v>88</v>
      </c>
      <c r="K387" s="7">
        <f t="shared" ref="K387:K432" si="93">I387*0.6+J387*0.4</f>
        <v>76.12</v>
      </c>
    </row>
    <row r="388" ht="14.25" spans="1:11">
      <c r="A388" s="7">
        <v>386</v>
      </c>
      <c r="B388" s="7" t="s">
        <v>416</v>
      </c>
      <c r="C388" s="7" t="str">
        <f t="shared" si="91"/>
        <v>52</v>
      </c>
      <c r="D388" s="7" t="str">
        <f>"07"</f>
        <v>07</v>
      </c>
      <c r="E388" s="7" t="str">
        <f>"20210265207"</f>
        <v>20210265207</v>
      </c>
      <c r="F388" s="7" t="s">
        <v>420</v>
      </c>
      <c r="G388" s="7">
        <v>57</v>
      </c>
      <c r="H388" s="7">
        <v>68</v>
      </c>
      <c r="I388" s="8">
        <f t="shared" si="92"/>
        <v>60.3</v>
      </c>
      <c r="J388" s="7">
        <v>90.8</v>
      </c>
      <c r="K388" s="7">
        <f t="shared" si="93"/>
        <v>72.5</v>
      </c>
    </row>
    <row r="389" ht="14.25" spans="1:11">
      <c r="A389" s="7">
        <v>387</v>
      </c>
      <c r="B389" s="7" t="s">
        <v>416</v>
      </c>
      <c r="C389" s="7" t="str">
        <f t="shared" si="91"/>
        <v>52</v>
      </c>
      <c r="D389" s="7" t="str">
        <f>"03"</f>
        <v>03</v>
      </c>
      <c r="E389" s="7" t="str">
        <f>"20210265203"</f>
        <v>20210265203</v>
      </c>
      <c r="F389" s="7" t="s">
        <v>421</v>
      </c>
      <c r="G389" s="7">
        <v>69</v>
      </c>
      <c r="H389" s="7">
        <v>70</v>
      </c>
      <c r="I389" s="8">
        <f t="shared" si="92"/>
        <v>69.3</v>
      </c>
      <c r="J389" s="7">
        <v>76</v>
      </c>
      <c r="K389" s="7">
        <f t="shared" si="93"/>
        <v>71.98</v>
      </c>
    </row>
    <row r="390" ht="14.25" spans="1:11">
      <c r="A390" s="7">
        <v>388</v>
      </c>
      <c r="B390" s="7" t="s">
        <v>416</v>
      </c>
      <c r="C390" s="7" t="str">
        <f t="shared" si="91"/>
        <v>52</v>
      </c>
      <c r="D390" s="7" t="str">
        <f>"01"</f>
        <v>01</v>
      </c>
      <c r="E390" s="7" t="str">
        <f>"20210265201"</f>
        <v>20210265201</v>
      </c>
      <c r="F390" s="7" t="s">
        <v>422</v>
      </c>
      <c r="G390" s="7">
        <v>64</v>
      </c>
      <c r="H390" s="7">
        <v>64</v>
      </c>
      <c r="I390" s="8">
        <f t="shared" si="92"/>
        <v>64</v>
      </c>
      <c r="J390" s="7">
        <v>81.8</v>
      </c>
      <c r="K390" s="7">
        <f t="shared" si="93"/>
        <v>71.12</v>
      </c>
    </row>
    <row r="391" ht="14.25" spans="1:11">
      <c r="A391" s="7">
        <v>389</v>
      </c>
      <c r="B391" s="7" t="s">
        <v>416</v>
      </c>
      <c r="C391" s="7" t="str">
        <f t="shared" si="91"/>
        <v>52</v>
      </c>
      <c r="D391" s="7" t="str">
        <f>"10"</f>
        <v>10</v>
      </c>
      <c r="E391" s="7" t="str">
        <f>"20210265210"</f>
        <v>20210265210</v>
      </c>
      <c r="F391" s="7" t="s">
        <v>112</v>
      </c>
      <c r="G391" s="7">
        <v>58</v>
      </c>
      <c r="H391" s="7">
        <v>87</v>
      </c>
      <c r="I391" s="8">
        <f t="shared" si="92"/>
        <v>66.7</v>
      </c>
      <c r="J391" s="7">
        <v>76.6</v>
      </c>
      <c r="K391" s="7">
        <f t="shared" si="93"/>
        <v>70.66</v>
      </c>
    </row>
    <row r="392" ht="14.25" spans="1:11">
      <c r="A392" s="7">
        <v>390</v>
      </c>
      <c r="B392" s="7" t="s">
        <v>416</v>
      </c>
      <c r="C392" s="7" t="str">
        <f t="shared" ref="C392:C396" si="94">"51"</f>
        <v>51</v>
      </c>
      <c r="D392" s="7" t="str">
        <f>"27"</f>
        <v>27</v>
      </c>
      <c r="E392" s="7" t="str">
        <f>"20210265127"</f>
        <v>20210265127</v>
      </c>
      <c r="F392" s="7" t="s">
        <v>423</v>
      </c>
      <c r="G392" s="7">
        <v>62</v>
      </c>
      <c r="H392" s="7">
        <v>60</v>
      </c>
      <c r="I392" s="8">
        <f t="shared" si="92"/>
        <v>61.4</v>
      </c>
      <c r="J392" s="7">
        <v>84</v>
      </c>
      <c r="K392" s="7">
        <f t="shared" si="93"/>
        <v>70.44</v>
      </c>
    </row>
    <row r="393" ht="14.25" spans="1:11">
      <c r="A393" s="7">
        <v>391</v>
      </c>
      <c r="B393" s="7" t="s">
        <v>416</v>
      </c>
      <c r="C393" s="7" t="str">
        <f t="shared" ref="C393:C397" si="95">"52"</f>
        <v>52</v>
      </c>
      <c r="D393" s="7" t="str">
        <f>"13"</f>
        <v>13</v>
      </c>
      <c r="E393" s="7" t="str">
        <f>"20210265213"</f>
        <v>20210265213</v>
      </c>
      <c r="F393" s="7" t="s">
        <v>424</v>
      </c>
      <c r="G393" s="7">
        <v>65</v>
      </c>
      <c r="H393" s="7">
        <v>82</v>
      </c>
      <c r="I393" s="8">
        <f t="shared" si="92"/>
        <v>70.1</v>
      </c>
      <c r="J393" s="7">
        <v>70</v>
      </c>
      <c r="K393" s="7">
        <f t="shared" si="93"/>
        <v>70.06</v>
      </c>
    </row>
    <row r="394" ht="14.25" spans="1:11">
      <c r="A394" s="7">
        <v>392</v>
      </c>
      <c r="B394" s="7" t="s">
        <v>416</v>
      </c>
      <c r="C394" s="7" t="str">
        <f t="shared" si="94"/>
        <v>51</v>
      </c>
      <c r="D394" s="7" t="str">
        <f>"10"</f>
        <v>10</v>
      </c>
      <c r="E394" s="7" t="str">
        <f>"20210265110"</f>
        <v>20210265110</v>
      </c>
      <c r="F394" s="7" t="s">
        <v>425</v>
      </c>
      <c r="G394" s="7">
        <v>63</v>
      </c>
      <c r="H394" s="7">
        <v>63</v>
      </c>
      <c r="I394" s="8">
        <f t="shared" si="92"/>
        <v>63</v>
      </c>
      <c r="J394" s="7">
        <v>76.2</v>
      </c>
      <c r="K394" s="7">
        <f t="shared" si="93"/>
        <v>68.28</v>
      </c>
    </row>
    <row r="395" ht="14.25" spans="1:11">
      <c r="A395" s="7">
        <v>393</v>
      </c>
      <c r="B395" s="7" t="s">
        <v>416</v>
      </c>
      <c r="C395" s="7" t="str">
        <f t="shared" si="95"/>
        <v>52</v>
      </c>
      <c r="D395" s="7" t="str">
        <f>"23"</f>
        <v>23</v>
      </c>
      <c r="E395" s="7" t="str">
        <f>"20210265223"</f>
        <v>20210265223</v>
      </c>
      <c r="F395" s="7" t="s">
        <v>426</v>
      </c>
      <c r="G395" s="7">
        <v>63</v>
      </c>
      <c r="H395" s="7">
        <v>71</v>
      </c>
      <c r="I395" s="8">
        <f t="shared" si="92"/>
        <v>65.4</v>
      </c>
      <c r="J395" s="7">
        <v>70.4</v>
      </c>
      <c r="K395" s="7">
        <f t="shared" si="93"/>
        <v>67.4</v>
      </c>
    </row>
    <row r="396" ht="14.25" spans="1:11">
      <c r="A396" s="7">
        <v>394</v>
      </c>
      <c r="B396" s="7" t="s">
        <v>416</v>
      </c>
      <c r="C396" s="7" t="str">
        <f t="shared" si="94"/>
        <v>51</v>
      </c>
      <c r="D396" s="7" t="str">
        <f>"24"</f>
        <v>24</v>
      </c>
      <c r="E396" s="7" t="str">
        <f>"20210265124"</f>
        <v>20210265124</v>
      </c>
      <c r="F396" s="7" t="s">
        <v>427</v>
      </c>
      <c r="G396" s="7">
        <v>55</v>
      </c>
      <c r="H396" s="7">
        <v>78</v>
      </c>
      <c r="I396" s="8">
        <f t="shared" si="92"/>
        <v>61.9</v>
      </c>
      <c r="J396" s="7">
        <v>74.6</v>
      </c>
      <c r="K396" s="7">
        <f t="shared" si="93"/>
        <v>66.98</v>
      </c>
    </row>
    <row r="397" ht="14.25" spans="1:11">
      <c r="A397" s="7">
        <v>395</v>
      </c>
      <c r="B397" s="7" t="s">
        <v>416</v>
      </c>
      <c r="C397" s="7" t="str">
        <f t="shared" si="95"/>
        <v>52</v>
      </c>
      <c r="D397" s="7" t="str">
        <f>"26"</f>
        <v>26</v>
      </c>
      <c r="E397" s="7" t="str">
        <f>"20210265226"</f>
        <v>20210265226</v>
      </c>
      <c r="F397" s="7" t="s">
        <v>428</v>
      </c>
      <c r="G397" s="7">
        <v>62</v>
      </c>
      <c r="H397" s="7">
        <v>69</v>
      </c>
      <c r="I397" s="8">
        <f t="shared" si="92"/>
        <v>64.1</v>
      </c>
      <c r="J397" s="7">
        <v>71.2</v>
      </c>
      <c r="K397" s="7">
        <f t="shared" si="93"/>
        <v>66.94</v>
      </c>
    </row>
    <row r="398" ht="14.25" spans="1:11">
      <c r="A398" s="7">
        <v>396</v>
      </c>
      <c r="B398" s="7" t="s">
        <v>416</v>
      </c>
      <c r="C398" s="7" t="str">
        <f>"51"</f>
        <v>51</v>
      </c>
      <c r="D398" s="7" t="str">
        <f>"18"</f>
        <v>18</v>
      </c>
      <c r="E398" s="7" t="str">
        <f>"20210265118"</f>
        <v>20210265118</v>
      </c>
      <c r="F398" s="7" t="s">
        <v>429</v>
      </c>
      <c r="G398" s="7">
        <v>57.5</v>
      </c>
      <c r="H398" s="7">
        <v>69</v>
      </c>
      <c r="I398" s="8">
        <f t="shared" si="92"/>
        <v>60.95</v>
      </c>
      <c r="J398" s="7">
        <v>73.4</v>
      </c>
      <c r="K398" s="7">
        <f t="shared" si="93"/>
        <v>65.93</v>
      </c>
    </row>
    <row r="399" ht="14.25" spans="1:11">
      <c r="A399" s="7">
        <v>397</v>
      </c>
      <c r="B399" s="7" t="s">
        <v>416</v>
      </c>
      <c r="C399" s="7" t="str">
        <f t="shared" ref="C399:C402" si="96">"52"</f>
        <v>52</v>
      </c>
      <c r="D399" s="7" t="str">
        <f>"08"</f>
        <v>08</v>
      </c>
      <c r="E399" s="7" t="str">
        <f>"20210265208"</f>
        <v>20210265208</v>
      </c>
      <c r="F399" s="7" t="s">
        <v>430</v>
      </c>
      <c r="G399" s="7">
        <v>65.5</v>
      </c>
      <c r="H399" s="7">
        <v>56</v>
      </c>
      <c r="I399" s="8">
        <f t="shared" si="92"/>
        <v>62.65</v>
      </c>
      <c r="J399" s="7">
        <v>69</v>
      </c>
      <c r="K399" s="7">
        <f t="shared" si="93"/>
        <v>65.19</v>
      </c>
    </row>
    <row r="400" ht="14.25" spans="1:11">
      <c r="A400" s="7">
        <v>398</v>
      </c>
      <c r="B400" s="7" t="s">
        <v>416</v>
      </c>
      <c r="C400" s="7" t="str">
        <f t="shared" si="96"/>
        <v>52</v>
      </c>
      <c r="D400" s="7" t="str">
        <f>"19"</f>
        <v>19</v>
      </c>
      <c r="E400" s="7" t="str">
        <f>"20210265219"</f>
        <v>20210265219</v>
      </c>
      <c r="F400" s="7" t="s">
        <v>431</v>
      </c>
      <c r="G400" s="7">
        <v>56.5</v>
      </c>
      <c r="H400" s="7">
        <v>63</v>
      </c>
      <c r="I400" s="8">
        <f t="shared" si="92"/>
        <v>58.45</v>
      </c>
      <c r="J400" s="7">
        <v>74.4</v>
      </c>
      <c r="K400" s="7">
        <f t="shared" si="93"/>
        <v>64.83</v>
      </c>
    </row>
    <row r="401" ht="14.25" spans="1:11">
      <c r="A401" s="7">
        <v>399</v>
      </c>
      <c r="B401" s="7" t="s">
        <v>432</v>
      </c>
      <c r="C401" s="7" t="str">
        <f t="shared" ref="C401:C405" si="97">"54"</f>
        <v>54</v>
      </c>
      <c r="D401" s="7" t="str">
        <f>"11"</f>
        <v>11</v>
      </c>
      <c r="E401" s="7" t="str">
        <f>"20210275411"</f>
        <v>20210275411</v>
      </c>
      <c r="F401" s="7" t="s">
        <v>433</v>
      </c>
      <c r="G401" s="7">
        <v>82</v>
      </c>
      <c r="H401" s="7">
        <v>84</v>
      </c>
      <c r="I401" s="8">
        <f t="shared" si="92"/>
        <v>82.6</v>
      </c>
      <c r="J401" s="7">
        <v>74.6</v>
      </c>
      <c r="K401" s="7">
        <f t="shared" si="93"/>
        <v>79.4</v>
      </c>
    </row>
    <row r="402" ht="14.25" spans="1:11">
      <c r="A402" s="7">
        <v>400</v>
      </c>
      <c r="B402" s="7" t="s">
        <v>432</v>
      </c>
      <c r="C402" s="7" t="str">
        <f t="shared" si="96"/>
        <v>52</v>
      </c>
      <c r="D402" s="7" t="str">
        <f>"30"</f>
        <v>30</v>
      </c>
      <c r="E402" s="7" t="str">
        <f>"20210275230"</f>
        <v>20210275230</v>
      </c>
      <c r="F402" s="7" t="s">
        <v>434</v>
      </c>
      <c r="G402" s="7">
        <v>74</v>
      </c>
      <c r="H402" s="7">
        <v>71</v>
      </c>
      <c r="I402" s="8">
        <f t="shared" si="92"/>
        <v>73.1</v>
      </c>
      <c r="J402" s="7">
        <v>75.4</v>
      </c>
      <c r="K402" s="7">
        <f t="shared" si="93"/>
        <v>74.02</v>
      </c>
    </row>
    <row r="403" ht="14.25" spans="1:11">
      <c r="A403" s="7">
        <v>401</v>
      </c>
      <c r="B403" s="7" t="s">
        <v>432</v>
      </c>
      <c r="C403" s="7" t="str">
        <f t="shared" ref="C403:C408" si="98">"53"</f>
        <v>53</v>
      </c>
      <c r="D403" s="7" t="str">
        <f>"19"</f>
        <v>19</v>
      </c>
      <c r="E403" s="7" t="str">
        <f>"20210275319"</f>
        <v>20210275319</v>
      </c>
      <c r="F403" s="7" t="s">
        <v>322</v>
      </c>
      <c r="G403" s="7">
        <v>66</v>
      </c>
      <c r="H403" s="7">
        <v>76</v>
      </c>
      <c r="I403" s="8">
        <f t="shared" si="92"/>
        <v>69</v>
      </c>
      <c r="J403" s="7">
        <v>78</v>
      </c>
      <c r="K403" s="7">
        <f t="shared" si="93"/>
        <v>72.6</v>
      </c>
    </row>
    <row r="404" ht="14.25" spans="1:11">
      <c r="A404" s="7">
        <v>402</v>
      </c>
      <c r="B404" s="7" t="s">
        <v>432</v>
      </c>
      <c r="C404" s="7" t="str">
        <f t="shared" si="97"/>
        <v>54</v>
      </c>
      <c r="D404" s="7" t="str">
        <f>"03"</f>
        <v>03</v>
      </c>
      <c r="E404" s="7" t="str">
        <f>"20210275403"</f>
        <v>20210275403</v>
      </c>
      <c r="F404" s="7" t="s">
        <v>435</v>
      </c>
      <c r="G404" s="7">
        <v>63</v>
      </c>
      <c r="H404" s="7">
        <v>79</v>
      </c>
      <c r="I404" s="8">
        <f t="shared" si="92"/>
        <v>67.8</v>
      </c>
      <c r="J404" s="7">
        <v>79.3</v>
      </c>
      <c r="K404" s="7">
        <f t="shared" si="93"/>
        <v>72.4</v>
      </c>
    </row>
    <row r="405" ht="14.25" spans="1:11">
      <c r="A405" s="7">
        <v>403</v>
      </c>
      <c r="B405" s="7" t="s">
        <v>432</v>
      </c>
      <c r="C405" s="7" t="str">
        <f t="shared" si="97"/>
        <v>54</v>
      </c>
      <c r="D405" s="7" t="str">
        <f>"01"</f>
        <v>01</v>
      </c>
      <c r="E405" s="7" t="str">
        <f>"20210275401"</f>
        <v>20210275401</v>
      </c>
      <c r="F405" s="7" t="s">
        <v>436</v>
      </c>
      <c r="G405" s="7">
        <v>65.5</v>
      </c>
      <c r="H405" s="7">
        <v>79</v>
      </c>
      <c r="I405" s="8">
        <f t="shared" si="92"/>
        <v>69.55</v>
      </c>
      <c r="J405" s="7">
        <v>76.2</v>
      </c>
      <c r="K405" s="7">
        <f t="shared" si="93"/>
        <v>72.21</v>
      </c>
    </row>
    <row r="406" ht="14.25" spans="1:11">
      <c r="A406" s="7">
        <v>404</v>
      </c>
      <c r="B406" s="7" t="s">
        <v>432</v>
      </c>
      <c r="C406" s="7" t="str">
        <f t="shared" si="98"/>
        <v>53</v>
      </c>
      <c r="D406" s="7" t="str">
        <f>"09"</f>
        <v>09</v>
      </c>
      <c r="E406" s="7" t="str">
        <f>"20210275309"</f>
        <v>20210275309</v>
      </c>
      <c r="F406" s="7" t="s">
        <v>437</v>
      </c>
      <c r="G406" s="7">
        <v>60</v>
      </c>
      <c r="H406" s="7">
        <v>77</v>
      </c>
      <c r="I406" s="8">
        <f t="shared" si="92"/>
        <v>65.1</v>
      </c>
      <c r="J406" s="7">
        <v>82.3</v>
      </c>
      <c r="K406" s="7">
        <f t="shared" si="93"/>
        <v>71.98</v>
      </c>
    </row>
    <row r="407" ht="14.25" spans="1:11">
      <c r="A407" s="7">
        <v>405</v>
      </c>
      <c r="B407" s="7" t="s">
        <v>432</v>
      </c>
      <c r="C407" s="7" t="str">
        <f>"54"</f>
        <v>54</v>
      </c>
      <c r="D407" s="7" t="str">
        <f>"06"</f>
        <v>06</v>
      </c>
      <c r="E407" s="7" t="str">
        <f>"20210275406"</f>
        <v>20210275406</v>
      </c>
      <c r="F407" s="7" t="s">
        <v>438</v>
      </c>
      <c r="G407" s="7">
        <v>62</v>
      </c>
      <c r="H407" s="7">
        <v>73</v>
      </c>
      <c r="I407" s="8">
        <f t="shared" si="92"/>
        <v>65.3</v>
      </c>
      <c r="J407" s="7">
        <v>77.7</v>
      </c>
      <c r="K407" s="7">
        <f t="shared" si="93"/>
        <v>70.26</v>
      </c>
    </row>
    <row r="408" ht="14.25" spans="1:11">
      <c r="A408" s="7">
        <v>406</v>
      </c>
      <c r="B408" s="7" t="s">
        <v>432</v>
      </c>
      <c r="C408" s="7" t="str">
        <f t="shared" si="98"/>
        <v>53</v>
      </c>
      <c r="D408" s="7" t="str">
        <f>"17"</f>
        <v>17</v>
      </c>
      <c r="E408" s="7" t="str">
        <f>"20210275317"</f>
        <v>20210275317</v>
      </c>
      <c r="F408" s="7" t="s">
        <v>439</v>
      </c>
      <c r="G408" s="7">
        <v>59</v>
      </c>
      <c r="H408" s="7">
        <v>72</v>
      </c>
      <c r="I408" s="8">
        <f t="shared" si="92"/>
        <v>62.9</v>
      </c>
      <c r="J408" s="7">
        <v>78.6</v>
      </c>
      <c r="K408" s="7">
        <f t="shared" si="93"/>
        <v>69.18</v>
      </c>
    </row>
    <row r="409" ht="14.25" spans="1:11">
      <c r="A409" s="7">
        <v>407</v>
      </c>
      <c r="B409" s="7" t="s">
        <v>432</v>
      </c>
      <c r="C409" s="7" t="str">
        <f>"52"</f>
        <v>52</v>
      </c>
      <c r="D409" s="7" t="str">
        <f>"28"</f>
        <v>28</v>
      </c>
      <c r="E409" s="7" t="str">
        <f>"20210275228"</f>
        <v>20210275228</v>
      </c>
      <c r="F409" s="7" t="s">
        <v>440</v>
      </c>
      <c r="G409" s="7">
        <v>59.5</v>
      </c>
      <c r="H409" s="7">
        <v>61</v>
      </c>
      <c r="I409" s="8">
        <f t="shared" si="92"/>
        <v>59.95</v>
      </c>
      <c r="J409" s="7">
        <v>81.6</v>
      </c>
      <c r="K409" s="7">
        <f t="shared" si="93"/>
        <v>68.61</v>
      </c>
    </row>
    <row r="410" ht="14.25" spans="1:11">
      <c r="A410" s="7">
        <v>408</v>
      </c>
      <c r="B410" s="7" t="s">
        <v>432</v>
      </c>
      <c r="C410" s="7" t="str">
        <f t="shared" ref="C410:C415" si="99">"53"</f>
        <v>53</v>
      </c>
      <c r="D410" s="7" t="str">
        <f>"26"</f>
        <v>26</v>
      </c>
      <c r="E410" s="7" t="str">
        <f>"20210275326"</f>
        <v>20210275326</v>
      </c>
      <c r="F410" s="7" t="s">
        <v>441</v>
      </c>
      <c r="G410" s="7">
        <v>66</v>
      </c>
      <c r="H410" s="7">
        <v>59</v>
      </c>
      <c r="I410" s="8">
        <f t="shared" si="92"/>
        <v>63.9</v>
      </c>
      <c r="J410" s="7">
        <v>72.2</v>
      </c>
      <c r="K410" s="7">
        <f t="shared" si="93"/>
        <v>67.22</v>
      </c>
    </row>
    <row r="411" ht="14.25" spans="1:11">
      <c r="A411" s="7">
        <v>409</v>
      </c>
      <c r="B411" s="7" t="s">
        <v>432</v>
      </c>
      <c r="C411" s="7" t="str">
        <f t="shared" si="99"/>
        <v>53</v>
      </c>
      <c r="D411" s="7" t="str">
        <f>"25"</f>
        <v>25</v>
      </c>
      <c r="E411" s="7" t="str">
        <f>"20210275325"</f>
        <v>20210275325</v>
      </c>
      <c r="F411" s="7" t="s">
        <v>442</v>
      </c>
      <c r="G411" s="7">
        <v>65</v>
      </c>
      <c r="H411" s="7">
        <v>64</v>
      </c>
      <c r="I411" s="8">
        <f t="shared" si="92"/>
        <v>64.7</v>
      </c>
      <c r="J411" s="7">
        <v>67.6</v>
      </c>
      <c r="K411" s="7">
        <f t="shared" si="93"/>
        <v>65.86</v>
      </c>
    </row>
    <row r="412" ht="14.25" spans="1:11">
      <c r="A412" s="7">
        <v>410</v>
      </c>
      <c r="B412" s="7" t="s">
        <v>432</v>
      </c>
      <c r="C412" s="7" t="str">
        <f t="shared" ref="C412:C414" si="100">"54"</f>
        <v>54</v>
      </c>
      <c r="D412" s="7" t="str">
        <f>"17"</f>
        <v>17</v>
      </c>
      <c r="E412" s="7" t="str">
        <f>"20210275417"</f>
        <v>20210275417</v>
      </c>
      <c r="F412" s="7" t="s">
        <v>443</v>
      </c>
      <c r="G412" s="7">
        <v>59.5</v>
      </c>
      <c r="H412" s="7">
        <v>55</v>
      </c>
      <c r="I412" s="8">
        <f t="shared" si="92"/>
        <v>58.15</v>
      </c>
      <c r="J412" s="7">
        <v>76.7</v>
      </c>
      <c r="K412" s="7">
        <f t="shared" si="93"/>
        <v>65.57</v>
      </c>
    </row>
    <row r="413" ht="14.25" spans="1:11">
      <c r="A413" s="7">
        <v>411</v>
      </c>
      <c r="B413" s="7" t="s">
        <v>432</v>
      </c>
      <c r="C413" s="7" t="str">
        <f t="shared" si="100"/>
        <v>54</v>
      </c>
      <c r="D413" s="7" t="str">
        <f>"07"</f>
        <v>07</v>
      </c>
      <c r="E413" s="7" t="str">
        <f>"20210275407"</f>
        <v>20210275407</v>
      </c>
      <c r="F413" s="7" t="s">
        <v>444</v>
      </c>
      <c r="G413" s="7">
        <v>58</v>
      </c>
      <c r="H413" s="7">
        <v>43</v>
      </c>
      <c r="I413" s="8">
        <f t="shared" si="92"/>
        <v>53.5</v>
      </c>
      <c r="J413" s="7">
        <v>83.6</v>
      </c>
      <c r="K413" s="7">
        <f t="shared" si="93"/>
        <v>65.54</v>
      </c>
    </row>
    <row r="414" ht="14.25" spans="1:11">
      <c r="A414" s="7">
        <v>412</v>
      </c>
      <c r="B414" s="7" t="s">
        <v>432</v>
      </c>
      <c r="C414" s="7" t="str">
        <f t="shared" si="100"/>
        <v>54</v>
      </c>
      <c r="D414" s="7" t="str">
        <f>"14"</f>
        <v>14</v>
      </c>
      <c r="E414" s="7" t="str">
        <f>"20210275414"</f>
        <v>20210275414</v>
      </c>
      <c r="F414" s="7" t="s">
        <v>445</v>
      </c>
      <c r="G414" s="7">
        <v>50</v>
      </c>
      <c r="H414" s="7">
        <v>52</v>
      </c>
      <c r="I414" s="8">
        <f t="shared" si="92"/>
        <v>50.6</v>
      </c>
      <c r="J414" s="7">
        <v>87.1</v>
      </c>
      <c r="K414" s="7">
        <f t="shared" si="93"/>
        <v>65.2</v>
      </c>
    </row>
    <row r="415" ht="14.25" spans="1:11">
      <c r="A415" s="7">
        <v>413</v>
      </c>
      <c r="B415" s="7" t="s">
        <v>432</v>
      </c>
      <c r="C415" s="7" t="str">
        <f t="shared" si="99"/>
        <v>53</v>
      </c>
      <c r="D415" s="7" t="str">
        <f>"13"</f>
        <v>13</v>
      </c>
      <c r="E415" s="7" t="str">
        <f>"20210275313"</f>
        <v>20210275313</v>
      </c>
      <c r="F415" s="7" t="s">
        <v>446</v>
      </c>
      <c r="G415" s="7">
        <v>52</v>
      </c>
      <c r="H415" s="7">
        <v>63</v>
      </c>
      <c r="I415" s="8">
        <f t="shared" si="92"/>
        <v>55.3</v>
      </c>
      <c r="J415" s="7">
        <v>77.4</v>
      </c>
      <c r="K415" s="7">
        <f t="shared" si="93"/>
        <v>64.14</v>
      </c>
    </row>
    <row r="416" ht="14.25" spans="1:11">
      <c r="A416" s="7">
        <v>414</v>
      </c>
      <c r="B416" s="7" t="s">
        <v>432</v>
      </c>
      <c r="C416" s="7" t="str">
        <f t="shared" ref="C416:C418" si="101">"54"</f>
        <v>54</v>
      </c>
      <c r="D416" s="7" t="str">
        <f>"10"</f>
        <v>10</v>
      </c>
      <c r="E416" s="7" t="str">
        <f>"20210275410"</f>
        <v>20210275410</v>
      </c>
      <c r="F416" s="7" t="s">
        <v>447</v>
      </c>
      <c r="G416" s="7">
        <v>62</v>
      </c>
      <c r="H416" s="7">
        <v>63</v>
      </c>
      <c r="I416" s="8">
        <f t="shared" si="92"/>
        <v>62.3</v>
      </c>
      <c r="J416" s="7">
        <v>64.2</v>
      </c>
      <c r="K416" s="7">
        <f t="shared" si="93"/>
        <v>63.06</v>
      </c>
    </row>
    <row r="417" ht="14.25" spans="1:11">
      <c r="A417" s="7">
        <v>415</v>
      </c>
      <c r="B417" s="7" t="s">
        <v>448</v>
      </c>
      <c r="C417" s="7" t="str">
        <f t="shared" si="101"/>
        <v>54</v>
      </c>
      <c r="D417" s="7" t="str">
        <f>"27"</f>
        <v>27</v>
      </c>
      <c r="E417" s="7" t="str">
        <f>"20210285427"</f>
        <v>20210285427</v>
      </c>
      <c r="F417" s="7" t="s">
        <v>449</v>
      </c>
      <c r="G417" s="7">
        <v>80</v>
      </c>
      <c r="H417" s="7">
        <v>80</v>
      </c>
      <c r="I417" s="8">
        <f t="shared" si="92"/>
        <v>80</v>
      </c>
      <c r="J417" s="7">
        <v>84.4</v>
      </c>
      <c r="K417" s="7">
        <f t="shared" si="93"/>
        <v>81.76</v>
      </c>
    </row>
    <row r="418" ht="14.25" spans="1:11">
      <c r="A418" s="7">
        <v>416</v>
      </c>
      <c r="B418" s="7" t="s">
        <v>448</v>
      </c>
      <c r="C418" s="7" t="str">
        <f t="shared" si="101"/>
        <v>54</v>
      </c>
      <c r="D418" s="7" t="str">
        <f>"29"</f>
        <v>29</v>
      </c>
      <c r="E418" s="7" t="str">
        <f>"20210285429"</f>
        <v>20210285429</v>
      </c>
      <c r="F418" s="7" t="s">
        <v>450</v>
      </c>
      <c r="G418" s="7">
        <v>84</v>
      </c>
      <c r="H418" s="7">
        <v>75</v>
      </c>
      <c r="I418" s="8">
        <f t="shared" si="92"/>
        <v>81.3</v>
      </c>
      <c r="J418" s="7">
        <v>79.8</v>
      </c>
      <c r="K418" s="7">
        <f t="shared" si="93"/>
        <v>80.7</v>
      </c>
    </row>
    <row r="419" ht="14.25" spans="1:11">
      <c r="A419" s="7">
        <v>417</v>
      </c>
      <c r="B419" s="7" t="s">
        <v>448</v>
      </c>
      <c r="C419" s="7" t="str">
        <f t="shared" ref="C419:C423" si="102">"55"</f>
        <v>55</v>
      </c>
      <c r="D419" s="7" t="str">
        <f>"25"</f>
        <v>25</v>
      </c>
      <c r="E419" s="7" t="str">
        <f>"20210285525"</f>
        <v>20210285525</v>
      </c>
      <c r="F419" s="7" t="s">
        <v>451</v>
      </c>
      <c r="G419" s="7">
        <v>84</v>
      </c>
      <c r="H419" s="7">
        <v>79</v>
      </c>
      <c r="I419" s="8">
        <f t="shared" si="92"/>
        <v>82.5</v>
      </c>
      <c r="J419" s="7">
        <v>76</v>
      </c>
      <c r="K419" s="7">
        <f t="shared" si="93"/>
        <v>79.9</v>
      </c>
    </row>
    <row r="420" ht="14.25" spans="1:11">
      <c r="A420" s="7">
        <v>418</v>
      </c>
      <c r="B420" s="7" t="s">
        <v>448</v>
      </c>
      <c r="C420" s="7" t="str">
        <f t="shared" si="102"/>
        <v>55</v>
      </c>
      <c r="D420" s="7" t="str">
        <f>"14"</f>
        <v>14</v>
      </c>
      <c r="E420" s="7" t="str">
        <f>"20210285514"</f>
        <v>20210285514</v>
      </c>
      <c r="F420" s="7" t="s">
        <v>452</v>
      </c>
      <c r="G420" s="7">
        <v>70.5</v>
      </c>
      <c r="H420" s="7">
        <v>77</v>
      </c>
      <c r="I420" s="8">
        <f t="shared" si="92"/>
        <v>72.45</v>
      </c>
      <c r="J420" s="7">
        <v>78.4</v>
      </c>
      <c r="K420" s="7">
        <f t="shared" si="93"/>
        <v>74.83</v>
      </c>
    </row>
    <row r="421" ht="14.25" spans="1:11">
      <c r="A421" s="7">
        <v>419</v>
      </c>
      <c r="B421" s="7" t="s">
        <v>448</v>
      </c>
      <c r="C421" s="7" t="str">
        <f t="shared" ref="C421:C424" si="103">"54"</f>
        <v>54</v>
      </c>
      <c r="D421" s="7" t="str">
        <f>"26"</f>
        <v>26</v>
      </c>
      <c r="E421" s="7" t="str">
        <f>"20210285426"</f>
        <v>20210285426</v>
      </c>
      <c r="F421" s="7" t="s">
        <v>453</v>
      </c>
      <c r="G421" s="7">
        <v>72</v>
      </c>
      <c r="H421" s="7">
        <v>76</v>
      </c>
      <c r="I421" s="8">
        <f t="shared" si="92"/>
        <v>73.2</v>
      </c>
      <c r="J421" s="7">
        <v>73</v>
      </c>
      <c r="K421" s="7">
        <f t="shared" si="93"/>
        <v>73.12</v>
      </c>
    </row>
    <row r="422" ht="14.25" spans="1:11">
      <c r="A422" s="7">
        <v>420</v>
      </c>
      <c r="B422" s="7" t="s">
        <v>448</v>
      </c>
      <c r="C422" s="7" t="str">
        <f t="shared" si="103"/>
        <v>54</v>
      </c>
      <c r="D422" s="7" t="str">
        <f>"20"</f>
        <v>20</v>
      </c>
      <c r="E422" s="7" t="str">
        <f>"20210285420"</f>
        <v>20210285420</v>
      </c>
      <c r="F422" s="7" t="s">
        <v>454</v>
      </c>
      <c r="G422" s="7">
        <v>64.5</v>
      </c>
      <c r="H422" s="7">
        <v>78</v>
      </c>
      <c r="I422" s="8">
        <f t="shared" si="92"/>
        <v>68.55</v>
      </c>
      <c r="J422" s="7">
        <v>79.2</v>
      </c>
      <c r="K422" s="7">
        <f t="shared" si="93"/>
        <v>72.81</v>
      </c>
    </row>
    <row r="423" ht="14.25" spans="1:11">
      <c r="A423" s="7">
        <v>421</v>
      </c>
      <c r="B423" s="7" t="s">
        <v>448</v>
      </c>
      <c r="C423" s="7" t="str">
        <f t="shared" si="102"/>
        <v>55</v>
      </c>
      <c r="D423" s="7" t="str">
        <f>"18"</f>
        <v>18</v>
      </c>
      <c r="E423" s="7" t="str">
        <f>"20210285518"</f>
        <v>20210285518</v>
      </c>
      <c r="F423" s="7" t="s">
        <v>455</v>
      </c>
      <c r="G423" s="7">
        <v>63.5</v>
      </c>
      <c r="H423" s="7">
        <v>76</v>
      </c>
      <c r="I423" s="8">
        <f t="shared" si="92"/>
        <v>67.25</v>
      </c>
      <c r="J423" s="7">
        <v>80</v>
      </c>
      <c r="K423" s="7">
        <f t="shared" si="93"/>
        <v>72.35</v>
      </c>
    </row>
    <row r="424" ht="14.25" spans="1:11">
      <c r="A424" s="7">
        <v>422</v>
      </c>
      <c r="B424" s="7" t="s">
        <v>448</v>
      </c>
      <c r="C424" s="7" t="str">
        <f t="shared" si="103"/>
        <v>54</v>
      </c>
      <c r="D424" s="7" t="str">
        <f>"21"</f>
        <v>21</v>
      </c>
      <c r="E424" s="7" t="str">
        <f>"20210285421"</f>
        <v>20210285421</v>
      </c>
      <c r="F424" s="7" t="s">
        <v>456</v>
      </c>
      <c r="G424" s="7">
        <v>65</v>
      </c>
      <c r="H424" s="7">
        <v>65</v>
      </c>
      <c r="I424" s="8">
        <f t="shared" si="92"/>
        <v>65</v>
      </c>
      <c r="J424" s="7">
        <v>81.4</v>
      </c>
      <c r="K424" s="7">
        <f t="shared" si="93"/>
        <v>71.56</v>
      </c>
    </row>
    <row r="425" ht="14.25" spans="1:11">
      <c r="A425" s="7">
        <v>423</v>
      </c>
      <c r="B425" s="7" t="s">
        <v>448</v>
      </c>
      <c r="C425" s="7" t="str">
        <f t="shared" ref="C425:C432" si="104">"55"</f>
        <v>55</v>
      </c>
      <c r="D425" s="7" t="str">
        <f>"22"</f>
        <v>22</v>
      </c>
      <c r="E425" s="7" t="str">
        <f>"20210285522"</f>
        <v>20210285522</v>
      </c>
      <c r="F425" s="7" t="s">
        <v>457</v>
      </c>
      <c r="G425" s="7">
        <v>68</v>
      </c>
      <c r="H425" s="7">
        <v>62</v>
      </c>
      <c r="I425" s="8">
        <f t="shared" si="92"/>
        <v>66.2</v>
      </c>
      <c r="J425" s="7">
        <v>78</v>
      </c>
      <c r="K425" s="7">
        <f t="shared" si="93"/>
        <v>70.92</v>
      </c>
    </row>
    <row r="426" ht="14.25" spans="1:11">
      <c r="A426" s="7">
        <v>424</v>
      </c>
      <c r="B426" s="7" t="s">
        <v>448</v>
      </c>
      <c r="C426" s="7" t="str">
        <f>"54"</f>
        <v>54</v>
      </c>
      <c r="D426" s="7" t="str">
        <f>"30"</f>
        <v>30</v>
      </c>
      <c r="E426" s="7" t="str">
        <f>"20210285430"</f>
        <v>20210285430</v>
      </c>
      <c r="F426" s="7" t="s">
        <v>458</v>
      </c>
      <c r="G426" s="7">
        <v>63</v>
      </c>
      <c r="H426" s="7">
        <v>67</v>
      </c>
      <c r="I426" s="8">
        <f t="shared" si="92"/>
        <v>64.2</v>
      </c>
      <c r="J426" s="7">
        <v>75</v>
      </c>
      <c r="K426" s="7">
        <f t="shared" si="93"/>
        <v>68.52</v>
      </c>
    </row>
    <row r="427" ht="14.25" spans="1:11">
      <c r="A427" s="7">
        <v>425</v>
      </c>
      <c r="B427" s="7" t="s">
        <v>448</v>
      </c>
      <c r="C427" s="7" t="str">
        <f t="shared" si="104"/>
        <v>55</v>
      </c>
      <c r="D427" s="7" t="str">
        <f>"09"</f>
        <v>09</v>
      </c>
      <c r="E427" s="7" t="str">
        <f>"20210285509"</f>
        <v>20210285509</v>
      </c>
      <c r="F427" s="7" t="s">
        <v>459</v>
      </c>
      <c r="G427" s="7">
        <v>54</v>
      </c>
      <c r="H427" s="7">
        <v>86</v>
      </c>
      <c r="I427" s="8">
        <f t="shared" si="92"/>
        <v>63.6</v>
      </c>
      <c r="J427" s="7">
        <v>75.8</v>
      </c>
      <c r="K427" s="7">
        <f t="shared" si="93"/>
        <v>68.48</v>
      </c>
    </row>
    <row r="428" ht="14.25" spans="1:11">
      <c r="A428" s="7">
        <v>426</v>
      </c>
      <c r="B428" s="7" t="s">
        <v>448</v>
      </c>
      <c r="C428" s="7" t="str">
        <f t="shared" si="104"/>
        <v>55</v>
      </c>
      <c r="D428" s="7" t="str">
        <f>"01"</f>
        <v>01</v>
      </c>
      <c r="E428" s="7" t="str">
        <f>"20210285501"</f>
        <v>20210285501</v>
      </c>
      <c r="F428" s="7" t="s">
        <v>460</v>
      </c>
      <c r="G428" s="7">
        <v>52.5</v>
      </c>
      <c r="H428" s="7">
        <v>80</v>
      </c>
      <c r="I428" s="8">
        <f t="shared" si="92"/>
        <v>60.75</v>
      </c>
      <c r="J428" s="7">
        <v>80</v>
      </c>
      <c r="K428" s="7">
        <f t="shared" si="93"/>
        <v>68.45</v>
      </c>
    </row>
    <row r="429" ht="14.25" spans="1:11">
      <c r="A429" s="7">
        <v>427</v>
      </c>
      <c r="B429" s="7" t="s">
        <v>448</v>
      </c>
      <c r="C429" s="7" t="str">
        <f t="shared" si="104"/>
        <v>55</v>
      </c>
      <c r="D429" s="7" t="str">
        <f>"23"</f>
        <v>23</v>
      </c>
      <c r="E429" s="7" t="str">
        <f>"20210285523"</f>
        <v>20210285523</v>
      </c>
      <c r="F429" s="7" t="s">
        <v>461</v>
      </c>
      <c r="G429" s="7">
        <v>66.5</v>
      </c>
      <c r="H429" s="7">
        <v>34</v>
      </c>
      <c r="I429" s="8">
        <f t="shared" si="92"/>
        <v>56.75</v>
      </c>
      <c r="J429" s="7">
        <v>82.6</v>
      </c>
      <c r="K429" s="7">
        <f t="shared" si="93"/>
        <v>67.09</v>
      </c>
    </row>
    <row r="430" ht="14.25" spans="1:11">
      <c r="A430" s="7">
        <v>428</v>
      </c>
      <c r="B430" s="7" t="s">
        <v>448</v>
      </c>
      <c r="C430" s="7" t="str">
        <f t="shared" si="104"/>
        <v>55</v>
      </c>
      <c r="D430" s="7" t="str">
        <f>"05"</f>
        <v>05</v>
      </c>
      <c r="E430" s="7" t="str">
        <f>"20210285505"</f>
        <v>20210285505</v>
      </c>
      <c r="F430" s="7" t="s">
        <v>462</v>
      </c>
      <c r="G430" s="7">
        <v>56</v>
      </c>
      <c r="H430" s="7">
        <v>65</v>
      </c>
      <c r="I430" s="8">
        <f t="shared" si="92"/>
        <v>58.7</v>
      </c>
      <c r="J430" s="7">
        <v>79.6</v>
      </c>
      <c r="K430" s="7">
        <f t="shared" si="93"/>
        <v>67.06</v>
      </c>
    </row>
    <row r="431" ht="14.25" spans="1:11">
      <c r="A431" s="7">
        <v>429</v>
      </c>
      <c r="B431" s="7" t="s">
        <v>448</v>
      </c>
      <c r="C431" s="7" t="str">
        <f t="shared" si="104"/>
        <v>55</v>
      </c>
      <c r="D431" s="7" t="str">
        <f>"15"</f>
        <v>15</v>
      </c>
      <c r="E431" s="7" t="str">
        <f>"20210285515"</f>
        <v>20210285515</v>
      </c>
      <c r="F431" s="7" t="s">
        <v>463</v>
      </c>
      <c r="G431" s="7">
        <v>50.5</v>
      </c>
      <c r="H431" s="7">
        <v>72</v>
      </c>
      <c r="I431" s="8">
        <f t="shared" si="92"/>
        <v>56.95</v>
      </c>
      <c r="J431" s="7">
        <v>80</v>
      </c>
      <c r="K431" s="7">
        <f t="shared" si="93"/>
        <v>66.17</v>
      </c>
    </row>
    <row r="432" ht="14.25" spans="1:11">
      <c r="A432" s="7">
        <v>430</v>
      </c>
      <c r="B432" s="7" t="s">
        <v>448</v>
      </c>
      <c r="C432" s="7" t="str">
        <f t="shared" si="104"/>
        <v>55</v>
      </c>
      <c r="D432" s="7" t="str">
        <f>"32"</f>
        <v>32</v>
      </c>
      <c r="E432" s="7" t="str">
        <f>"20210285532"</f>
        <v>20210285532</v>
      </c>
      <c r="F432" s="7" t="s">
        <v>464</v>
      </c>
      <c r="G432" s="7">
        <v>59.5</v>
      </c>
      <c r="H432" s="7">
        <v>62</v>
      </c>
      <c r="I432" s="8">
        <f t="shared" si="92"/>
        <v>60.25</v>
      </c>
      <c r="J432" s="7">
        <v>69</v>
      </c>
      <c r="K432" s="7">
        <f t="shared" si="93"/>
        <v>63.75</v>
      </c>
    </row>
  </sheetData>
  <mergeCells count="1">
    <mergeCell ref="A1:K1"/>
  </mergeCells>
  <conditionalFormatting sqref="F74">
    <cfRule type="duplicateValues" dxfId="0" priority="1"/>
  </conditionalFormatting>
  <conditionalFormatting sqref="F3:F105 F107:F234 F236:F350 F352:F390 F392:F402 F404:F432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海波</cp:lastModifiedBy>
  <dcterms:created xsi:type="dcterms:W3CDTF">2021-07-28T02:01:00Z</dcterms:created>
  <cp:lastPrinted>2021-08-01T08:50:00Z</cp:lastPrinted>
  <dcterms:modified xsi:type="dcterms:W3CDTF">2021-08-23T02:34:45Z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697BBC86978742EBAB5F072A974C6595</vt:lpwstr>
  </property>
</Properties>
</file>