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8135"/>
  </bookViews>
  <sheets>
    <sheet name="Sheet1" sheetId="1" r:id="rId1"/>
  </sheets>
  <definedNames>
    <definedName name="_xlnm._FilterDatabase" localSheetId="0" hidden="1">Sheet1!$A$3:$J$3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<sst xmlns="http://schemas.openxmlformats.org/spreadsheetml/2006/main" count="56">
  <si>
    <r>
      <rPr>
        <sz val="12"/>
        <color theme="1"/>
        <rFont val="宋体"/>
        <charset val="134"/>
        <scheme val="minor"/>
      </rPr>
      <t xml:space="preserve">附件：   </t>
    </r>
    <r>
      <rPr>
        <sz val="18"/>
        <color theme="1"/>
        <rFont val="宋体"/>
        <charset val="134"/>
        <scheme val="minor"/>
      </rPr>
      <t>2021年颍泉区幼儿教师招聘拟参加专业测试人员</t>
    </r>
  </si>
  <si>
    <t>专业测试一组</t>
  </si>
  <si>
    <t>序号</t>
  </si>
  <si>
    <t>岗位代码</t>
  </si>
  <si>
    <t>姓名</t>
  </si>
  <si>
    <t>准考证号</t>
  </si>
  <si>
    <t>考场号</t>
  </si>
  <si>
    <t>座位号</t>
  </si>
  <si>
    <t>教育综合知识</t>
  </si>
  <si>
    <t>专业知识</t>
  </si>
  <si>
    <t>合成成绩</t>
  </si>
  <si>
    <t>专业测试时间</t>
  </si>
  <si>
    <r>
      <rPr>
        <sz val="11"/>
        <color theme="1"/>
        <rFont val="宋体"/>
        <charset val="134"/>
      </rPr>
      <t>001</t>
    </r>
  </si>
  <si>
    <t>001</t>
  </si>
  <si>
    <t>专业测试二组</t>
  </si>
  <si>
    <t>002</t>
  </si>
  <si>
    <r>
      <rPr>
        <sz val="11"/>
        <color theme="1"/>
        <rFont val="宋体"/>
        <charset val="134"/>
      </rPr>
      <t>002</t>
    </r>
  </si>
  <si>
    <t>专业测试三组</t>
  </si>
  <si>
    <t>003</t>
  </si>
  <si>
    <r>
      <rPr>
        <sz val="11"/>
        <color theme="1"/>
        <rFont val="宋体"/>
        <charset val="134"/>
      </rPr>
      <t>003</t>
    </r>
  </si>
  <si>
    <t>专业测试四组</t>
  </si>
  <si>
    <t>004</t>
  </si>
  <si>
    <r>
      <rPr>
        <sz val="11"/>
        <color theme="1"/>
        <rFont val="宋体"/>
        <charset val="134"/>
      </rPr>
      <t>004</t>
    </r>
  </si>
  <si>
    <t>009</t>
  </si>
  <si>
    <t>专业测试五组</t>
  </si>
  <si>
    <t>005</t>
  </si>
  <si>
    <r>
      <rPr>
        <sz val="11"/>
        <color theme="1"/>
        <rFont val="宋体"/>
        <charset val="134"/>
      </rPr>
      <t>005</t>
    </r>
  </si>
  <si>
    <t>专业测试六组</t>
  </si>
  <si>
    <t>008</t>
  </si>
  <si>
    <r>
      <rPr>
        <sz val="11"/>
        <color theme="1"/>
        <rFont val="宋体"/>
        <charset val="134"/>
      </rPr>
      <t>017</t>
    </r>
  </si>
  <si>
    <t>017</t>
  </si>
  <si>
    <t>专业测试七组</t>
  </si>
  <si>
    <t>010</t>
  </si>
  <si>
    <r>
      <rPr>
        <sz val="11"/>
        <color theme="1"/>
        <rFont val="宋体"/>
        <charset val="134"/>
      </rPr>
      <t>010</t>
    </r>
  </si>
  <si>
    <t>011</t>
  </si>
  <si>
    <r>
      <rPr>
        <sz val="11"/>
        <color theme="1"/>
        <rFont val="宋体"/>
        <charset val="134"/>
      </rPr>
      <t>011</t>
    </r>
  </si>
  <si>
    <t>专业测试八组</t>
  </si>
  <si>
    <t>006</t>
  </si>
  <si>
    <r>
      <rPr>
        <sz val="11"/>
        <color theme="1"/>
        <rFont val="宋体"/>
        <charset val="134"/>
      </rPr>
      <t>006</t>
    </r>
  </si>
  <si>
    <t>专业测试九组</t>
  </si>
  <si>
    <t>007</t>
  </si>
  <si>
    <r>
      <rPr>
        <sz val="11"/>
        <color theme="1"/>
        <rFont val="宋体"/>
        <charset val="134"/>
      </rPr>
      <t>007</t>
    </r>
  </si>
  <si>
    <t>专业测试十组</t>
  </si>
  <si>
    <t>012</t>
  </si>
  <si>
    <t>专业测试十一组</t>
  </si>
  <si>
    <t>013</t>
  </si>
  <si>
    <r>
      <rPr>
        <sz val="11"/>
        <color theme="1"/>
        <rFont val="宋体"/>
        <charset val="134"/>
      </rPr>
      <t>013</t>
    </r>
  </si>
  <si>
    <t>专业测试十二组</t>
  </si>
  <si>
    <t>014</t>
  </si>
  <si>
    <r>
      <rPr>
        <sz val="11"/>
        <color theme="1"/>
        <rFont val="宋体"/>
        <charset val="134"/>
      </rPr>
      <t>014</t>
    </r>
  </si>
  <si>
    <t>专业测试十三组</t>
  </si>
  <si>
    <t>015</t>
  </si>
  <si>
    <r>
      <rPr>
        <sz val="11"/>
        <color theme="1"/>
        <rFont val="宋体"/>
        <charset val="134"/>
      </rPr>
      <t>015</t>
    </r>
  </si>
  <si>
    <t>专业测试十四组</t>
  </si>
  <si>
    <t>016</t>
  </si>
  <si>
    <r>
      <rPr>
        <sz val="11"/>
        <color theme="1"/>
        <rFont val="宋体"/>
        <charset val="134"/>
      </rPr>
      <t>016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</si>
</sst>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20"/>
      <color theme="1"/>
      <name val="黑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58" fontId="9" fillId="0" borderId="1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3"/>
  <sheetViews>
    <sheetView tabSelected="1" workbookViewId="0">
      <selection activeCell="L6" sqref="L6"/>
    </sheetView>
  </sheetViews>
  <sheetFormatPr defaultColWidth="9" defaultRowHeight="14.4"/>
  <cols>
    <col min="1" max="1" width="5" customWidth="1"/>
    <col min="2" max="2" width="6.37962962962963" customWidth="1"/>
    <col min="4" max="4" width="13" customWidth="1"/>
    <col min="5" max="5" width="7.11111111111111" customWidth="1"/>
    <col min="6" max="6" width="6.75" customWidth="1"/>
    <col min="7" max="7" width="12.5" customWidth="1"/>
    <col min="10" max="10" width="13.25" customWidth="1"/>
  </cols>
  <sheetData>
    <row r="1" ht="24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0" customHeight="1" spans="1:10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20" customHeight="1" spans="1:10">
      <c r="A4" s="6">
        <v>1</v>
      </c>
      <c r="B4" s="7" t="str">
        <f t="shared" ref="B4:B22" si="0">"001"</f>
        <v>001</v>
      </c>
      <c r="C4" s="7" t="str">
        <f>"吴梦梦"</f>
        <v>吴梦梦</v>
      </c>
      <c r="D4" s="7" t="str">
        <f>"20210010503"</f>
        <v>20210010503</v>
      </c>
      <c r="E4" s="7" t="str">
        <f>"05"</f>
        <v>05</v>
      </c>
      <c r="F4" s="7" t="str">
        <f>"03"</f>
        <v>03</v>
      </c>
      <c r="G4" s="8">
        <v>86.8</v>
      </c>
      <c r="H4" s="8">
        <v>87.6</v>
      </c>
      <c r="I4" s="8">
        <v>87.36</v>
      </c>
      <c r="J4" s="17">
        <v>44435</v>
      </c>
    </row>
    <row r="5" ht="20" customHeight="1" spans="1:10">
      <c r="A5" s="6">
        <v>2</v>
      </c>
      <c r="B5" s="7" t="str">
        <f t="shared" si="0"/>
        <v>001</v>
      </c>
      <c r="C5" s="7" t="str">
        <f>"张霜霜"</f>
        <v>张霜霜</v>
      </c>
      <c r="D5" s="7" t="str">
        <f>"20210010123"</f>
        <v>20210010123</v>
      </c>
      <c r="E5" s="7" t="str">
        <f>"01"</f>
        <v>01</v>
      </c>
      <c r="F5" s="7" t="str">
        <f>"23"</f>
        <v>23</v>
      </c>
      <c r="G5" s="8">
        <v>83.4</v>
      </c>
      <c r="H5" s="8">
        <v>86.2</v>
      </c>
      <c r="I5" s="8">
        <v>85.36</v>
      </c>
      <c r="J5" s="17">
        <v>44435</v>
      </c>
    </row>
    <row r="6" ht="20" customHeight="1" spans="1:10">
      <c r="A6" s="6">
        <v>3</v>
      </c>
      <c r="B6" s="7" t="str">
        <f t="shared" si="0"/>
        <v>001</v>
      </c>
      <c r="C6" s="7" t="str">
        <f>"杨宗荣"</f>
        <v>杨宗荣</v>
      </c>
      <c r="D6" s="7" t="str">
        <f>"20210010223"</f>
        <v>20210010223</v>
      </c>
      <c r="E6" s="7" t="str">
        <f>"02"</f>
        <v>02</v>
      </c>
      <c r="F6" s="7" t="str">
        <f>"23"</f>
        <v>23</v>
      </c>
      <c r="G6" s="8">
        <v>89.4</v>
      </c>
      <c r="H6" s="8">
        <v>83.4</v>
      </c>
      <c r="I6" s="8">
        <v>85.2</v>
      </c>
      <c r="J6" s="17">
        <v>44435</v>
      </c>
    </row>
    <row r="7" ht="20" customHeight="1" spans="1:10">
      <c r="A7" s="6">
        <v>4</v>
      </c>
      <c r="B7" s="7" t="str">
        <f t="shared" si="0"/>
        <v>001</v>
      </c>
      <c r="C7" s="7" t="str">
        <f>"包婉婉"</f>
        <v>包婉婉</v>
      </c>
      <c r="D7" s="7" t="str">
        <f>"20210010118"</f>
        <v>20210010118</v>
      </c>
      <c r="E7" s="7" t="str">
        <f>"01"</f>
        <v>01</v>
      </c>
      <c r="F7" s="7" t="str">
        <f>"18"</f>
        <v>18</v>
      </c>
      <c r="G7" s="8">
        <v>82.6</v>
      </c>
      <c r="H7" s="8">
        <v>85.8</v>
      </c>
      <c r="I7" s="8">
        <v>84.84</v>
      </c>
      <c r="J7" s="17">
        <v>44435</v>
      </c>
    </row>
    <row r="8" ht="20" customHeight="1" spans="1:10">
      <c r="A8" s="6">
        <v>5</v>
      </c>
      <c r="B8" s="7" t="str">
        <f t="shared" si="0"/>
        <v>001</v>
      </c>
      <c r="C8" s="7" t="str">
        <f>"任晓宇"</f>
        <v>任晓宇</v>
      </c>
      <c r="D8" s="7" t="str">
        <f>"20210010230"</f>
        <v>20210010230</v>
      </c>
      <c r="E8" s="7" t="str">
        <f t="shared" ref="E8:E13" si="1">"02"</f>
        <v>02</v>
      </c>
      <c r="F8" s="7" t="str">
        <f>"30"</f>
        <v>30</v>
      </c>
      <c r="G8" s="8">
        <v>86.7</v>
      </c>
      <c r="H8" s="8">
        <v>83</v>
      </c>
      <c r="I8" s="8">
        <v>84.11</v>
      </c>
      <c r="J8" s="17">
        <v>44435</v>
      </c>
    </row>
    <row r="9" ht="20" customHeight="1" spans="1:10">
      <c r="A9" s="6">
        <v>6</v>
      </c>
      <c r="B9" s="7" t="str">
        <f t="shared" si="0"/>
        <v>001</v>
      </c>
      <c r="C9" s="7" t="str">
        <f>"李天惠"</f>
        <v>李天惠</v>
      </c>
      <c r="D9" s="7" t="str">
        <f>"20210010306"</f>
        <v>20210010306</v>
      </c>
      <c r="E9" s="7" t="str">
        <f t="shared" ref="E9:E15" si="2">"03"</f>
        <v>03</v>
      </c>
      <c r="F9" s="7" t="str">
        <f>"06"</f>
        <v>06</v>
      </c>
      <c r="G9" s="8">
        <v>85.1</v>
      </c>
      <c r="H9" s="8">
        <v>82.1</v>
      </c>
      <c r="I9" s="8">
        <v>83</v>
      </c>
      <c r="J9" s="17">
        <v>44435</v>
      </c>
    </row>
    <row r="10" ht="20" customHeight="1" spans="1:10">
      <c r="A10" s="6">
        <v>7</v>
      </c>
      <c r="B10" s="7" t="str">
        <f t="shared" si="0"/>
        <v>001</v>
      </c>
      <c r="C10" s="7" t="str">
        <f>"王梦"</f>
        <v>王梦</v>
      </c>
      <c r="D10" s="7" t="str">
        <f>"20210010314"</f>
        <v>20210010314</v>
      </c>
      <c r="E10" s="7" t="str">
        <f t="shared" si="2"/>
        <v>03</v>
      </c>
      <c r="F10" s="7" t="str">
        <f>"14"</f>
        <v>14</v>
      </c>
      <c r="G10" s="8">
        <v>80.4</v>
      </c>
      <c r="H10" s="8">
        <v>84</v>
      </c>
      <c r="I10" s="8">
        <v>82.92</v>
      </c>
      <c r="J10" s="17">
        <v>44435</v>
      </c>
    </row>
    <row r="11" ht="20" customHeight="1" spans="1:10">
      <c r="A11" s="6">
        <v>8</v>
      </c>
      <c r="B11" s="7" t="str">
        <f t="shared" si="0"/>
        <v>001</v>
      </c>
      <c r="C11" s="7" t="str">
        <f>"何幸幸"</f>
        <v>何幸幸</v>
      </c>
      <c r="D11" s="7" t="str">
        <f>"20210010408"</f>
        <v>20210010408</v>
      </c>
      <c r="E11" s="7" t="str">
        <f>"04"</f>
        <v>04</v>
      </c>
      <c r="F11" s="7" t="str">
        <f>"08"</f>
        <v>08</v>
      </c>
      <c r="G11" s="8">
        <v>83.3</v>
      </c>
      <c r="H11" s="8">
        <v>82.5</v>
      </c>
      <c r="I11" s="8">
        <v>82.74</v>
      </c>
      <c r="J11" s="17">
        <v>44435</v>
      </c>
    </row>
    <row r="12" ht="20" customHeight="1" spans="1:10">
      <c r="A12" s="6">
        <v>9</v>
      </c>
      <c r="B12" s="7" t="str">
        <f t="shared" si="0"/>
        <v>001</v>
      </c>
      <c r="C12" s="7" t="str">
        <f>"朱金玲"</f>
        <v>朱金玲</v>
      </c>
      <c r="D12" s="7" t="str">
        <f>"20210010202"</f>
        <v>20210010202</v>
      </c>
      <c r="E12" s="7" t="str">
        <f t="shared" si="1"/>
        <v>02</v>
      </c>
      <c r="F12" s="7" t="str">
        <f>"02"</f>
        <v>02</v>
      </c>
      <c r="G12" s="8">
        <v>83.1</v>
      </c>
      <c r="H12" s="8">
        <v>80.8</v>
      </c>
      <c r="I12" s="8">
        <v>81.49</v>
      </c>
      <c r="J12" s="17">
        <v>44435</v>
      </c>
    </row>
    <row r="13" ht="20" customHeight="1" spans="1:10">
      <c r="A13" s="6">
        <v>10</v>
      </c>
      <c r="B13" s="7" t="str">
        <f t="shared" si="0"/>
        <v>001</v>
      </c>
      <c r="C13" s="7" t="str">
        <f>"邵真真"</f>
        <v>邵真真</v>
      </c>
      <c r="D13" s="7" t="str">
        <f>"20210010220"</f>
        <v>20210010220</v>
      </c>
      <c r="E13" s="7" t="str">
        <f t="shared" si="1"/>
        <v>02</v>
      </c>
      <c r="F13" s="7" t="str">
        <f>"20"</f>
        <v>20</v>
      </c>
      <c r="G13" s="8">
        <v>75.9</v>
      </c>
      <c r="H13" s="8">
        <v>83.8</v>
      </c>
      <c r="I13" s="8">
        <v>81.43</v>
      </c>
      <c r="J13" s="17">
        <v>44435</v>
      </c>
    </row>
    <row r="14" ht="20" customHeight="1" spans="1:10">
      <c r="A14" s="6">
        <v>11</v>
      </c>
      <c r="B14" s="7" t="str">
        <f t="shared" si="0"/>
        <v>001</v>
      </c>
      <c r="C14" s="7" t="str">
        <f>"张慧敏"</f>
        <v>张慧敏</v>
      </c>
      <c r="D14" s="7" t="str">
        <f>"20210010320"</f>
        <v>20210010320</v>
      </c>
      <c r="E14" s="7" t="str">
        <f t="shared" si="2"/>
        <v>03</v>
      </c>
      <c r="F14" s="7" t="str">
        <f>"20"</f>
        <v>20</v>
      </c>
      <c r="G14" s="8">
        <v>84.5</v>
      </c>
      <c r="H14" s="8">
        <v>80.1</v>
      </c>
      <c r="I14" s="8">
        <v>81.42</v>
      </c>
      <c r="J14" s="17">
        <v>44435</v>
      </c>
    </row>
    <row r="15" ht="20" customHeight="1" spans="1:10">
      <c r="A15" s="6">
        <v>12</v>
      </c>
      <c r="B15" s="7" t="str">
        <f t="shared" si="0"/>
        <v>001</v>
      </c>
      <c r="C15" s="7" t="str">
        <f>"韩孟娟"</f>
        <v>韩孟娟</v>
      </c>
      <c r="D15" s="7" t="str">
        <f>"20210010311"</f>
        <v>20210010311</v>
      </c>
      <c r="E15" s="7" t="str">
        <f t="shared" si="2"/>
        <v>03</v>
      </c>
      <c r="F15" s="7" t="str">
        <f>"11"</f>
        <v>11</v>
      </c>
      <c r="G15" s="8">
        <v>75.8</v>
      </c>
      <c r="H15" s="8">
        <v>83.7</v>
      </c>
      <c r="I15" s="8">
        <v>81.33</v>
      </c>
      <c r="J15" s="17">
        <v>44435</v>
      </c>
    </row>
    <row r="16" ht="20" customHeight="1" spans="1:10">
      <c r="A16" s="6">
        <v>13</v>
      </c>
      <c r="B16" s="7" t="str">
        <f t="shared" si="0"/>
        <v>001</v>
      </c>
      <c r="C16" s="7" t="str">
        <f>"谭萍萍"</f>
        <v>谭萍萍</v>
      </c>
      <c r="D16" s="7" t="str">
        <f>"20210010101"</f>
        <v>20210010101</v>
      </c>
      <c r="E16" s="7" t="str">
        <f t="shared" ref="E16:F16" si="3">"01"</f>
        <v>01</v>
      </c>
      <c r="F16" s="7" t="str">
        <f t="shared" si="3"/>
        <v>01</v>
      </c>
      <c r="G16" s="8">
        <v>85.7</v>
      </c>
      <c r="H16" s="8">
        <v>78.8</v>
      </c>
      <c r="I16" s="8">
        <v>80.87</v>
      </c>
      <c r="J16" s="17">
        <v>44435</v>
      </c>
    </row>
    <row r="17" ht="20" customHeight="1" spans="1:10">
      <c r="A17" s="6">
        <v>14</v>
      </c>
      <c r="B17" s="7" t="str">
        <f t="shared" si="0"/>
        <v>001</v>
      </c>
      <c r="C17" s="7" t="str">
        <f>"杜秀芹"</f>
        <v>杜秀芹</v>
      </c>
      <c r="D17" s="7" t="str">
        <f>"20210010308"</f>
        <v>20210010308</v>
      </c>
      <c r="E17" s="7" t="str">
        <f>"03"</f>
        <v>03</v>
      </c>
      <c r="F17" s="7" t="str">
        <f>"08"</f>
        <v>08</v>
      </c>
      <c r="G17" s="8">
        <v>79.6</v>
      </c>
      <c r="H17" s="8">
        <v>81.3</v>
      </c>
      <c r="I17" s="8">
        <v>80.79</v>
      </c>
      <c r="J17" s="17">
        <v>44435</v>
      </c>
    </row>
    <row r="18" ht="20" customHeight="1" spans="1:10">
      <c r="A18" s="6">
        <v>15</v>
      </c>
      <c r="B18" s="7" t="str">
        <f t="shared" si="0"/>
        <v>001</v>
      </c>
      <c r="C18" s="7" t="str">
        <f>"王可云"</f>
        <v>王可云</v>
      </c>
      <c r="D18" s="7" t="str">
        <f>"20210010221"</f>
        <v>20210010221</v>
      </c>
      <c r="E18" s="7" t="str">
        <f>"02"</f>
        <v>02</v>
      </c>
      <c r="F18" s="7" t="str">
        <f>"21"</f>
        <v>21</v>
      </c>
      <c r="G18" s="8">
        <v>80.4</v>
      </c>
      <c r="H18" s="8">
        <v>80.7</v>
      </c>
      <c r="I18" s="8">
        <v>80.61</v>
      </c>
      <c r="J18" s="17">
        <v>44435</v>
      </c>
    </row>
    <row r="19" ht="20" customHeight="1" spans="1:10">
      <c r="A19" s="6">
        <v>16</v>
      </c>
      <c r="B19" s="7" t="str">
        <f t="shared" si="0"/>
        <v>001</v>
      </c>
      <c r="C19" s="7" t="str">
        <f>"纪微娜"</f>
        <v>纪微娜</v>
      </c>
      <c r="D19" s="7" t="str">
        <f>"20210010116"</f>
        <v>20210010116</v>
      </c>
      <c r="E19" s="7" t="str">
        <f t="shared" ref="E19:E21" si="4">"01"</f>
        <v>01</v>
      </c>
      <c r="F19" s="7" t="str">
        <f>"16"</f>
        <v>16</v>
      </c>
      <c r="G19" s="8">
        <v>84.7</v>
      </c>
      <c r="H19" s="8">
        <v>76.5</v>
      </c>
      <c r="I19" s="8">
        <v>78.96</v>
      </c>
      <c r="J19" s="17">
        <v>44435</v>
      </c>
    </row>
    <row r="20" ht="20" customHeight="1" spans="1:10">
      <c r="A20" s="6">
        <v>17</v>
      </c>
      <c r="B20" s="7" t="str">
        <f t="shared" si="0"/>
        <v>001</v>
      </c>
      <c r="C20" s="7" t="str">
        <f>"刘玉"</f>
        <v>刘玉</v>
      </c>
      <c r="D20" s="7" t="str">
        <f>"20210010109"</f>
        <v>20210010109</v>
      </c>
      <c r="E20" s="7" t="str">
        <f t="shared" si="4"/>
        <v>01</v>
      </c>
      <c r="F20" s="7" t="str">
        <f>"09"</f>
        <v>09</v>
      </c>
      <c r="G20" s="8">
        <v>81.6</v>
      </c>
      <c r="H20" s="8">
        <v>76.9</v>
      </c>
      <c r="I20" s="8">
        <v>78.31</v>
      </c>
      <c r="J20" s="17">
        <v>44435</v>
      </c>
    </row>
    <row r="21" ht="20" customHeight="1" spans="1:10">
      <c r="A21" s="6">
        <v>18</v>
      </c>
      <c r="B21" s="7" t="str">
        <f t="shared" si="0"/>
        <v>001</v>
      </c>
      <c r="C21" s="7" t="str">
        <f>"李彤"</f>
        <v>李彤</v>
      </c>
      <c r="D21" s="7" t="str">
        <f>"20210010120"</f>
        <v>20210010120</v>
      </c>
      <c r="E21" s="7" t="str">
        <f t="shared" si="4"/>
        <v>01</v>
      </c>
      <c r="F21" s="7" t="str">
        <f>"20"</f>
        <v>20</v>
      </c>
      <c r="G21" s="8">
        <v>80.9</v>
      </c>
      <c r="H21" s="8">
        <v>77.2</v>
      </c>
      <c r="I21" s="8">
        <v>78.31</v>
      </c>
      <c r="J21" s="17">
        <v>44435</v>
      </c>
    </row>
    <row r="22" ht="20" customHeight="1" spans="1:10">
      <c r="A22" s="6">
        <v>19</v>
      </c>
      <c r="B22" s="7" t="str">
        <f t="shared" si="0"/>
        <v>001</v>
      </c>
      <c r="C22" s="7" t="str">
        <f>"李彤"</f>
        <v>李彤</v>
      </c>
      <c r="D22" s="7" t="str">
        <f>"20210010227"</f>
        <v>20210010227</v>
      </c>
      <c r="E22" s="7" t="str">
        <f>"02"</f>
        <v>02</v>
      </c>
      <c r="F22" s="7" t="str">
        <f>"27"</f>
        <v>27</v>
      </c>
      <c r="G22" s="8">
        <v>76.7</v>
      </c>
      <c r="H22" s="8">
        <v>78.4</v>
      </c>
      <c r="I22" s="8">
        <v>77.89</v>
      </c>
      <c r="J22" s="17">
        <v>44435</v>
      </c>
    </row>
    <row r="23" ht="20" customHeight="1" spans="1:10">
      <c r="A23" s="6">
        <v>20</v>
      </c>
      <c r="B23" s="9" t="s">
        <v>12</v>
      </c>
      <c r="C23" s="10" t="str">
        <f>"徐雨露"</f>
        <v>徐雨露</v>
      </c>
      <c r="D23" s="10" t="str">
        <f>"20210010327"</f>
        <v>20210010327</v>
      </c>
      <c r="E23" s="10" t="str">
        <f>"03"</f>
        <v>03</v>
      </c>
      <c r="F23" s="10" t="str">
        <f>"27"</f>
        <v>27</v>
      </c>
      <c r="G23" s="11">
        <v>79.8</v>
      </c>
      <c r="H23" s="11">
        <v>74.8</v>
      </c>
      <c r="I23" s="11">
        <v>76.3</v>
      </c>
      <c r="J23" s="17">
        <v>44435</v>
      </c>
    </row>
    <row r="24" ht="20" customHeight="1" spans="1:10">
      <c r="A24" s="6">
        <v>21</v>
      </c>
      <c r="B24" s="9" t="s">
        <v>13</v>
      </c>
      <c r="C24" s="10" t="str">
        <f>"王中勤"</f>
        <v>王中勤</v>
      </c>
      <c r="D24" s="10" t="str">
        <f>"20210010414"</f>
        <v>20210010414</v>
      </c>
      <c r="E24" s="10" t="str">
        <f t="shared" ref="E24:E25" si="5">"04"</f>
        <v>04</v>
      </c>
      <c r="F24" s="10" t="str">
        <f>"14"</f>
        <v>14</v>
      </c>
      <c r="G24" s="11">
        <v>75.4</v>
      </c>
      <c r="H24" s="11">
        <v>76.3</v>
      </c>
      <c r="I24" s="11">
        <v>76.03</v>
      </c>
      <c r="J24" s="17">
        <v>44435</v>
      </c>
    </row>
    <row r="25" ht="20" customHeight="1" spans="1:10">
      <c r="A25" s="6">
        <v>22</v>
      </c>
      <c r="B25" s="9" t="s">
        <v>12</v>
      </c>
      <c r="C25" s="10" t="str">
        <f>"董凤玲"</f>
        <v>董凤玲</v>
      </c>
      <c r="D25" s="10" t="str">
        <f>"20210010425"</f>
        <v>20210010425</v>
      </c>
      <c r="E25" s="10" t="str">
        <f t="shared" si="5"/>
        <v>04</v>
      </c>
      <c r="F25" s="10" t="str">
        <f>"25"</f>
        <v>25</v>
      </c>
      <c r="G25" s="11">
        <v>74.9</v>
      </c>
      <c r="H25" s="11">
        <v>76.4</v>
      </c>
      <c r="I25" s="11">
        <v>75.95</v>
      </c>
      <c r="J25" s="17">
        <v>44435</v>
      </c>
    </row>
    <row r="26" ht="20" customHeight="1" spans="1:10">
      <c r="A26" s="6">
        <v>23</v>
      </c>
      <c r="B26" s="9" t="s">
        <v>13</v>
      </c>
      <c r="C26" s="10" t="str">
        <f>"张曼丽"</f>
        <v>张曼丽</v>
      </c>
      <c r="D26" s="10" t="str">
        <f>"20210010313"</f>
        <v>20210010313</v>
      </c>
      <c r="E26" s="10" t="str">
        <f>"03"</f>
        <v>03</v>
      </c>
      <c r="F26" s="10" t="str">
        <f>"13"</f>
        <v>13</v>
      </c>
      <c r="G26" s="11">
        <v>79.1</v>
      </c>
      <c r="H26" s="11">
        <v>74.4</v>
      </c>
      <c r="I26" s="11">
        <v>75.81</v>
      </c>
      <c r="J26" s="17">
        <v>44435</v>
      </c>
    </row>
    <row r="27" ht="20" customHeight="1" spans="1:10">
      <c r="A27" s="6">
        <v>24</v>
      </c>
      <c r="B27" s="12" t="str">
        <f t="shared" ref="B27" si="6">"001"</f>
        <v>001</v>
      </c>
      <c r="C27" s="12" t="str">
        <f>"刘梦茹"</f>
        <v>刘梦茹</v>
      </c>
      <c r="D27" s="12" t="str">
        <f>"20210010206"</f>
        <v>20210010206</v>
      </c>
      <c r="E27" s="12" t="str">
        <f t="shared" ref="E27" si="7">"02"</f>
        <v>02</v>
      </c>
      <c r="F27" s="12" t="str">
        <f>"06"</f>
        <v>06</v>
      </c>
      <c r="G27" s="13">
        <v>81.7</v>
      </c>
      <c r="H27" s="13">
        <v>72.1</v>
      </c>
      <c r="I27" s="13">
        <v>74.98</v>
      </c>
      <c r="J27" s="17">
        <v>44435</v>
      </c>
    </row>
    <row r="28" ht="20" customHeight="1" spans="1:10">
      <c r="A28" s="14" t="s">
        <v>14</v>
      </c>
      <c r="B28" s="15"/>
      <c r="C28" s="15"/>
      <c r="D28" s="15"/>
      <c r="E28" s="15"/>
      <c r="F28" s="15"/>
      <c r="G28" s="15"/>
      <c r="H28" s="15"/>
      <c r="I28" s="15"/>
      <c r="J28" s="18"/>
    </row>
    <row r="29" ht="20" customHeight="1" spans="1:10">
      <c r="A29" s="4" t="s">
        <v>2</v>
      </c>
      <c r="B29" s="5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</row>
    <row r="30" ht="20" customHeight="1" spans="1:10">
      <c r="A30" s="6">
        <v>1</v>
      </c>
      <c r="B30" s="7" t="str">
        <f t="shared" ref="B30:B46" si="8">"002"</f>
        <v>002</v>
      </c>
      <c r="C30" s="7" t="str">
        <f>"张平平"</f>
        <v>张平平</v>
      </c>
      <c r="D30" s="7" t="str">
        <f>"20210020518"</f>
        <v>20210020518</v>
      </c>
      <c r="E30" s="7" t="str">
        <f t="shared" ref="E30:E34" si="9">"05"</f>
        <v>05</v>
      </c>
      <c r="F30" s="7" t="str">
        <f>"18"</f>
        <v>18</v>
      </c>
      <c r="G30" s="8">
        <v>83.4</v>
      </c>
      <c r="H30" s="8">
        <v>82.3</v>
      </c>
      <c r="I30" s="8">
        <v>82.63</v>
      </c>
      <c r="J30" s="17">
        <v>44435</v>
      </c>
    </row>
    <row r="31" ht="20" customHeight="1" spans="1:10">
      <c r="A31" s="6">
        <v>2</v>
      </c>
      <c r="B31" s="7" t="str">
        <f t="shared" si="8"/>
        <v>002</v>
      </c>
      <c r="C31" s="7" t="str">
        <f>"孟媛"</f>
        <v>孟媛</v>
      </c>
      <c r="D31" s="7" t="str">
        <f>"20210020905"</f>
        <v>20210020905</v>
      </c>
      <c r="E31" s="7" t="str">
        <f>"09"</f>
        <v>09</v>
      </c>
      <c r="F31" s="7" t="str">
        <f>"05"</f>
        <v>05</v>
      </c>
      <c r="G31" s="8">
        <v>85.2</v>
      </c>
      <c r="H31" s="8">
        <v>80.8</v>
      </c>
      <c r="I31" s="8">
        <v>82.12</v>
      </c>
      <c r="J31" s="17">
        <v>44435</v>
      </c>
    </row>
    <row r="32" ht="20" customHeight="1" spans="1:10">
      <c r="A32" s="6">
        <v>3</v>
      </c>
      <c r="B32" s="7" t="str">
        <f t="shared" si="8"/>
        <v>002</v>
      </c>
      <c r="C32" s="7" t="str">
        <f>"安婷"</f>
        <v>安婷</v>
      </c>
      <c r="D32" s="7" t="str">
        <f>"20210020530"</f>
        <v>20210020530</v>
      </c>
      <c r="E32" s="7" t="str">
        <f t="shared" si="9"/>
        <v>05</v>
      </c>
      <c r="F32" s="7" t="str">
        <f>"30"</f>
        <v>30</v>
      </c>
      <c r="G32" s="8">
        <v>82</v>
      </c>
      <c r="H32" s="8">
        <v>80.8</v>
      </c>
      <c r="I32" s="8">
        <v>81.16</v>
      </c>
      <c r="J32" s="17">
        <v>44435</v>
      </c>
    </row>
    <row r="33" ht="20" customHeight="1" spans="1:10">
      <c r="A33" s="6">
        <v>4</v>
      </c>
      <c r="B33" s="7" t="str">
        <f t="shared" si="8"/>
        <v>002</v>
      </c>
      <c r="C33" s="7" t="str">
        <f>"王昌龙"</f>
        <v>王昌龙</v>
      </c>
      <c r="D33" s="7" t="str">
        <f>"20210020614"</f>
        <v>20210020614</v>
      </c>
      <c r="E33" s="7" t="str">
        <f>"06"</f>
        <v>06</v>
      </c>
      <c r="F33" s="7" t="str">
        <f>"14"</f>
        <v>14</v>
      </c>
      <c r="G33" s="8">
        <v>76.8</v>
      </c>
      <c r="H33" s="8">
        <v>83</v>
      </c>
      <c r="I33" s="8">
        <v>81.14</v>
      </c>
      <c r="J33" s="17">
        <v>44435</v>
      </c>
    </row>
    <row r="34" ht="20" customHeight="1" spans="1:10">
      <c r="A34" s="6">
        <v>5</v>
      </c>
      <c r="B34" s="7" t="str">
        <f t="shared" si="8"/>
        <v>002</v>
      </c>
      <c r="C34" s="7" t="str">
        <f>"张梦梦"</f>
        <v>张梦梦</v>
      </c>
      <c r="D34" s="7" t="str">
        <f>"20210020505"</f>
        <v>20210020505</v>
      </c>
      <c r="E34" s="7" t="str">
        <f t="shared" si="9"/>
        <v>05</v>
      </c>
      <c r="F34" s="7" t="str">
        <f>"05"</f>
        <v>05</v>
      </c>
      <c r="G34" s="8">
        <v>81.4</v>
      </c>
      <c r="H34" s="8">
        <v>80.4</v>
      </c>
      <c r="I34" s="8">
        <v>80.7</v>
      </c>
      <c r="J34" s="17">
        <v>44435</v>
      </c>
    </row>
    <row r="35" ht="20" customHeight="1" spans="1:10">
      <c r="A35" s="6">
        <v>6</v>
      </c>
      <c r="B35" s="7" t="str">
        <f t="shared" si="8"/>
        <v>002</v>
      </c>
      <c r="C35" s="7" t="str">
        <f>"范影影"</f>
        <v>范影影</v>
      </c>
      <c r="D35" s="7" t="str">
        <f>"20210020625"</f>
        <v>20210020625</v>
      </c>
      <c r="E35" s="7" t="str">
        <f>"06"</f>
        <v>06</v>
      </c>
      <c r="F35" s="7" t="str">
        <f>"25"</f>
        <v>25</v>
      </c>
      <c r="G35" s="8">
        <v>87.7</v>
      </c>
      <c r="H35" s="8">
        <v>77</v>
      </c>
      <c r="I35" s="8">
        <v>80.21</v>
      </c>
      <c r="J35" s="17">
        <v>44435</v>
      </c>
    </row>
    <row r="36" ht="20" customHeight="1" spans="1:10">
      <c r="A36" s="6">
        <v>7</v>
      </c>
      <c r="B36" s="7" t="str">
        <f t="shared" si="8"/>
        <v>002</v>
      </c>
      <c r="C36" s="7" t="str">
        <f>"朱瑞琛"</f>
        <v>朱瑞琛</v>
      </c>
      <c r="D36" s="7" t="str">
        <f>"20210020706"</f>
        <v>20210020706</v>
      </c>
      <c r="E36" s="7" t="str">
        <f t="shared" ref="E36:E39" si="10">"07"</f>
        <v>07</v>
      </c>
      <c r="F36" s="7" t="str">
        <f>"06"</f>
        <v>06</v>
      </c>
      <c r="G36" s="8">
        <v>76.4</v>
      </c>
      <c r="H36" s="8">
        <v>81.7</v>
      </c>
      <c r="I36" s="8">
        <v>80.11</v>
      </c>
      <c r="J36" s="17">
        <v>44435</v>
      </c>
    </row>
    <row r="37" ht="20" customHeight="1" spans="1:10">
      <c r="A37" s="6">
        <v>8</v>
      </c>
      <c r="B37" s="7" t="str">
        <f t="shared" si="8"/>
        <v>002</v>
      </c>
      <c r="C37" s="7" t="str">
        <f>"刘雨晴"</f>
        <v>刘雨晴</v>
      </c>
      <c r="D37" s="7" t="str">
        <f>"20210020720"</f>
        <v>20210020720</v>
      </c>
      <c r="E37" s="7" t="str">
        <f t="shared" si="10"/>
        <v>07</v>
      </c>
      <c r="F37" s="7" t="str">
        <f>"20"</f>
        <v>20</v>
      </c>
      <c r="G37" s="8">
        <v>87.6</v>
      </c>
      <c r="H37" s="8">
        <v>76.1</v>
      </c>
      <c r="I37" s="8">
        <v>79.55</v>
      </c>
      <c r="J37" s="17">
        <v>44435</v>
      </c>
    </row>
    <row r="38" ht="20" customHeight="1" spans="1:10">
      <c r="A38" s="6">
        <v>9</v>
      </c>
      <c r="B38" s="7" t="str">
        <f t="shared" si="8"/>
        <v>002</v>
      </c>
      <c r="C38" s="7" t="str">
        <f>"孙齐齐"</f>
        <v>孙齐齐</v>
      </c>
      <c r="D38" s="7" t="str">
        <f>"20210020528"</f>
        <v>20210020528</v>
      </c>
      <c r="E38" s="7" t="str">
        <f>"05"</f>
        <v>05</v>
      </c>
      <c r="F38" s="7" t="str">
        <f>"28"</f>
        <v>28</v>
      </c>
      <c r="G38" s="8">
        <v>83.8</v>
      </c>
      <c r="H38" s="8">
        <v>77.3</v>
      </c>
      <c r="I38" s="8">
        <v>79.25</v>
      </c>
      <c r="J38" s="17">
        <v>44435</v>
      </c>
    </row>
    <row r="39" ht="20" customHeight="1" spans="1:10">
      <c r="A39" s="6">
        <v>10</v>
      </c>
      <c r="B39" s="7" t="str">
        <f t="shared" si="8"/>
        <v>002</v>
      </c>
      <c r="C39" s="7" t="str">
        <f>"肖亚楠"</f>
        <v>肖亚楠</v>
      </c>
      <c r="D39" s="7" t="str">
        <f>"20210020712"</f>
        <v>20210020712</v>
      </c>
      <c r="E39" s="7" t="str">
        <f t="shared" si="10"/>
        <v>07</v>
      </c>
      <c r="F39" s="7" t="str">
        <f>"12"</f>
        <v>12</v>
      </c>
      <c r="G39" s="8">
        <v>80.5</v>
      </c>
      <c r="H39" s="8">
        <v>78.6</v>
      </c>
      <c r="I39" s="8">
        <v>79.17</v>
      </c>
      <c r="J39" s="17">
        <v>44435</v>
      </c>
    </row>
    <row r="40" ht="20" customHeight="1" spans="1:10">
      <c r="A40" s="6">
        <v>11</v>
      </c>
      <c r="B40" s="7" t="str">
        <f t="shared" si="8"/>
        <v>002</v>
      </c>
      <c r="C40" s="7" t="str">
        <f>"秦梦伟"</f>
        <v>秦梦伟</v>
      </c>
      <c r="D40" s="7" t="str">
        <f>"20210020826"</f>
        <v>20210020826</v>
      </c>
      <c r="E40" s="7" t="str">
        <f t="shared" ref="E40" si="11">"08"</f>
        <v>08</v>
      </c>
      <c r="F40" s="7" t="str">
        <f>"26"</f>
        <v>26</v>
      </c>
      <c r="G40" s="8">
        <v>81.3</v>
      </c>
      <c r="H40" s="8">
        <v>78.1</v>
      </c>
      <c r="I40" s="8">
        <v>79.06</v>
      </c>
      <c r="J40" s="17">
        <v>44435</v>
      </c>
    </row>
    <row r="41" ht="20" customHeight="1" spans="1:10">
      <c r="A41" s="6">
        <v>12</v>
      </c>
      <c r="B41" s="7" t="str">
        <f t="shared" si="8"/>
        <v>002</v>
      </c>
      <c r="C41" s="7" t="str">
        <f>"程懿"</f>
        <v>程懿</v>
      </c>
      <c r="D41" s="7" t="str">
        <f>"20210020510"</f>
        <v>20210020510</v>
      </c>
      <c r="E41" s="7" t="str">
        <f>"05"</f>
        <v>05</v>
      </c>
      <c r="F41" s="7" t="str">
        <f>"10"</f>
        <v>10</v>
      </c>
      <c r="G41" s="8">
        <v>81.5</v>
      </c>
      <c r="H41" s="8">
        <v>77.8</v>
      </c>
      <c r="I41" s="8">
        <v>78.91</v>
      </c>
      <c r="J41" s="17">
        <v>44435</v>
      </c>
    </row>
    <row r="42" ht="20" customHeight="1" spans="1:10">
      <c r="A42" s="6">
        <v>13</v>
      </c>
      <c r="B42" s="7" t="str">
        <f t="shared" si="8"/>
        <v>002</v>
      </c>
      <c r="C42" s="7" t="str">
        <f>"侯田田"</f>
        <v>侯田田</v>
      </c>
      <c r="D42" s="7" t="str">
        <f>"20210020520"</f>
        <v>20210020520</v>
      </c>
      <c r="E42" s="7" t="str">
        <f>"05"</f>
        <v>05</v>
      </c>
      <c r="F42" s="7" t="str">
        <f>"20"</f>
        <v>20</v>
      </c>
      <c r="G42" s="8">
        <v>73.9</v>
      </c>
      <c r="H42" s="8">
        <v>79.9</v>
      </c>
      <c r="I42" s="8">
        <v>78.1</v>
      </c>
      <c r="J42" s="17">
        <v>44435</v>
      </c>
    </row>
    <row r="43" ht="20" customHeight="1" spans="1:10">
      <c r="A43" s="6">
        <v>14</v>
      </c>
      <c r="B43" s="7" t="str">
        <f t="shared" si="8"/>
        <v>002</v>
      </c>
      <c r="C43" s="7" t="str">
        <f>"朱德凤"</f>
        <v>朱德凤</v>
      </c>
      <c r="D43" s="7" t="str">
        <f>"20210020719"</f>
        <v>20210020719</v>
      </c>
      <c r="E43" s="7" t="str">
        <f t="shared" ref="E43:E44" si="12">"07"</f>
        <v>07</v>
      </c>
      <c r="F43" s="7" t="str">
        <f>"19"</f>
        <v>19</v>
      </c>
      <c r="G43" s="8">
        <v>84.1</v>
      </c>
      <c r="H43" s="8">
        <v>74.9</v>
      </c>
      <c r="I43" s="8">
        <v>77.66</v>
      </c>
      <c r="J43" s="17">
        <v>44435</v>
      </c>
    </row>
    <row r="44" ht="20" customHeight="1" spans="1:10">
      <c r="A44" s="6">
        <v>15</v>
      </c>
      <c r="B44" s="7" t="str">
        <f t="shared" si="8"/>
        <v>002</v>
      </c>
      <c r="C44" s="7" t="str">
        <f>"林双双"</f>
        <v>林双双</v>
      </c>
      <c r="D44" s="7" t="str">
        <f>"20210020711"</f>
        <v>20210020711</v>
      </c>
      <c r="E44" s="7" t="str">
        <f t="shared" si="12"/>
        <v>07</v>
      </c>
      <c r="F44" s="7" t="str">
        <f>"11"</f>
        <v>11</v>
      </c>
      <c r="G44" s="8">
        <v>80.6</v>
      </c>
      <c r="H44" s="8">
        <v>76.1</v>
      </c>
      <c r="I44" s="8">
        <v>77.45</v>
      </c>
      <c r="J44" s="17">
        <v>44435</v>
      </c>
    </row>
    <row r="45" ht="20" customHeight="1" spans="1:10">
      <c r="A45" s="6">
        <v>16</v>
      </c>
      <c r="B45" s="7" t="str">
        <f t="shared" si="8"/>
        <v>002</v>
      </c>
      <c r="C45" s="7" t="str">
        <f>"徐保瑞"</f>
        <v>徐保瑞</v>
      </c>
      <c r="D45" s="7" t="str">
        <f>"20210020515"</f>
        <v>20210020515</v>
      </c>
      <c r="E45" s="7" t="str">
        <f t="shared" ref="E45:E46" si="13">"05"</f>
        <v>05</v>
      </c>
      <c r="F45" s="7" t="str">
        <f>"15"</f>
        <v>15</v>
      </c>
      <c r="G45" s="8">
        <v>85.7</v>
      </c>
      <c r="H45" s="8">
        <v>73.6</v>
      </c>
      <c r="I45" s="8">
        <v>77.23</v>
      </c>
      <c r="J45" s="17">
        <v>44435</v>
      </c>
    </row>
    <row r="46" ht="20" customHeight="1" spans="1:10">
      <c r="A46" s="6">
        <v>17</v>
      </c>
      <c r="B46" s="7" t="str">
        <f t="shared" si="8"/>
        <v>002</v>
      </c>
      <c r="C46" s="7" t="str">
        <f>"王文静"</f>
        <v>王文静</v>
      </c>
      <c r="D46" s="7" t="str">
        <f>"20210020516"</f>
        <v>20210020516</v>
      </c>
      <c r="E46" s="7" t="str">
        <f t="shared" si="13"/>
        <v>05</v>
      </c>
      <c r="F46" s="7" t="str">
        <f>"16"</f>
        <v>16</v>
      </c>
      <c r="G46" s="8">
        <v>81.8</v>
      </c>
      <c r="H46" s="8">
        <v>75.1</v>
      </c>
      <c r="I46" s="8">
        <v>77.11</v>
      </c>
      <c r="J46" s="17">
        <v>44435</v>
      </c>
    </row>
    <row r="47" ht="20" customHeight="1" spans="1:10">
      <c r="A47" s="6">
        <v>18</v>
      </c>
      <c r="B47" s="9" t="s">
        <v>15</v>
      </c>
      <c r="C47" s="10" t="str">
        <f>"陈晨"</f>
        <v>陈晨</v>
      </c>
      <c r="D47" s="10" t="str">
        <f>"20210020729"</f>
        <v>20210020729</v>
      </c>
      <c r="E47" s="10" t="str">
        <f t="shared" ref="E47:E48" si="14">"07"</f>
        <v>07</v>
      </c>
      <c r="F47" s="10" t="str">
        <f>"29"</f>
        <v>29</v>
      </c>
      <c r="G47" s="11">
        <v>78.3</v>
      </c>
      <c r="H47" s="11">
        <v>76.2</v>
      </c>
      <c r="I47" s="11">
        <v>76.83</v>
      </c>
      <c r="J47" s="17">
        <v>44435</v>
      </c>
    </row>
    <row r="48" ht="20" customHeight="1" spans="1:10">
      <c r="A48" s="6">
        <v>19</v>
      </c>
      <c r="B48" s="9" t="s">
        <v>16</v>
      </c>
      <c r="C48" s="10" t="str">
        <f>"齐倩"</f>
        <v>齐倩</v>
      </c>
      <c r="D48" s="10" t="str">
        <f>"20210020709"</f>
        <v>20210020709</v>
      </c>
      <c r="E48" s="10" t="str">
        <f t="shared" si="14"/>
        <v>07</v>
      </c>
      <c r="F48" s="10" t="str">
        <f>"09"</f>
        <v>09</v>
      </c>
      <c r="G48" s="11">
        <v>79.7</v>
      </c>
      <c r="H48" s="11">
        <v>74.7</v>
      </c>
      <c r="I48" s="11">
        <v>76.2</v>
      </c>
      <c r="J48" s="17">
        <v>44435</v>
      </c>
    </row>
    <row r="49" ht="20" customHeight="1" spans="1:10">
      <c r="A49" s="6">
        <v>20</v>
      </c>
      <c r="B49" s="9" t="s">
        <v>16</v>
      </c>
      <c r="C49" s="10" t="str">
        <f>"王思慧"</f>
        <v>王思慧</v>
      </c>
      <c r="D49" s="10" t="str">
        <f>"20210020615"</f>
        <v>20210020615</v>
      </c>
      <c r="E49" s="10" t="str">
        <f>"06"</f>
        <v>06</v>
      </c>
      <c r="F49" s="10" t="str">
        <f>"15"</f>
        <v>15</v>
      </c>
      <c r="G49" s="11">
        <v>74.3</v>
      </c>
      <c r="H49" s="11">
        <v>77</v>
      </c>
      <c r="I49" s="11">
        <v>76.19</v>
      </c>
      <c r="J49" s="17">
        <v>44435</v>
      </c>
    </row>
    <row r="50" ht="20" customHeight="1" spans="1:10">
      <c r="A50" s="6">
        <v>21</v>
      </c>
      <c r="B50" s="9" t="s">
        <v>16</v>
      </c>
      <c r="C50" s="10" t="str">
        <f>"李钦钦"</f>
        <v>李钦钦</v>
      </c>
      <c r="D50" s="10" t="str">
        <f>"20210020728"</f>
        <v>20210020728</v>
      </c>
      <c r="E50" s="10" t="str">
        <f>"07"</f>
        <v>07</v>
      </c>
      <c r="F50" s="10" t="str">
        <f>"28"</f>
        <v>28</v>
      </c>
      <c r="G50" s="11">
        <v>74.4</v>
      </c>
      <c r="H50" s="11">
        <v>76.8</v>
      </c>
      <c r="I50" s="11">
        <v>76.08</v>
      </c>
      <c r="J50" s="17">
        <v>44435</v>
      </c>
    </row>
    <row r="51" ht="20" customHeight="1" spans="1:10">
      <c r="A51" s="6">
        <v>22</v>
      </c>
      <c r="B51" s="16" t="s">
        <v>15</v>
      </c>
      <c r="C51" s="12" t="str">
        <f>"黄宇晨"</f>
        <v>黄宇晨</v>
      </c>
      <c r="D51" s="12" t="str">
        <f>"20210020902"</f>
        <v>20210020902</v>
      </c>
      <c r="E51" s="12" t="str">
        <f>"09"</f>
        <v>09</v>
      </c>
      <c r="F51" s="12" t="str">
        <f>"02"</f>
        <v>02</v>
      </c>
      <c r="G51" s="13">
        <v>75.1</v>
      </c>
      <c r="H51" s="13">
        <v>75.9</v>
      </c>
      <c r="I51" s="13">
        <v>75.66</v>
      </c>
      <c r="J51" s="17">
        <v>44435</v>
      </c>
    </row>
    <row r="52" ht="20" customHeight="1" spans="1:10">
      <c r="A52" s="6">
        <v>23</v>
      </c>
      <c r="B52" s="16" t="s">
        <v>15</v>
      </c>
      <c r="C52" s="12" t="str">
        <f>"王英"</f>
        <v>王英</v>
      </c>
      <c r="D52" s="12" t="str">
        <f>"20210020509"</f>
        <v>20210020509</v>
      </c>
      <c r="E52" s="12" t="str">
        <f>"05"</f>
        <v>05</v>
      </c>
      <c r="F52" s="12" t="str">
        <f>"09"</f>
        <v>09</v>
      </c>
      <c r="G52" s="13">
        <v>85.2</v>
      </c>
      <c r="H52" s="13">
        <v>70.9</v>
      </c>
      <c r="I52" s="13">
        <v>75.19</v>
      </c>
      <c r="J52" s="17">
        <v>44435</v>
      </c>
    </row>
    <row r="53" ht="20" customHeight="1" spans="1:10">
      <c r="A53" s="6">
        <v>24</v>
      </c>
      <c r="B53" s="16" t="s">
        <v>15</v>
      </c>
      <c r="C53" s="12" t="str">
        <f>"刘雪燕"</f>
        <v>刘雪燕</v>
      </c>
      <c r="D53" s="12" t="str">
        <f>"20210020822"</f>
        <v>20210020822</v>
      </c>
      <c r="E53" s="12" t="str">
        <f>"08"</f>
        <v>08</v>
      </c>
      <c r="F53" s="12" t="str">
        <f>"22"</f>
        <v>22</v>
      </c>
      <c r="G53" s="13">
        <v>87.9</v>
      </c>
      <c r="H53" s="13">
        <v>69.6</v>
      </c>
      <c r="I53" s="13">
        <v>75.09</v>
      </c>
      <c r="J53" s="17">
        <v>44435</v>
      </c>
    </row>
    <row r="54" ht="20" customHeight="1" spans="1:10">
      <c r="A54" s="15" t="s">
        <v>17</v>
      </c>
      <c r="B54" s="15"/>
      <c r="C54" s="15"/>
      <c r="D54" s="15"/>
      <c r="E54" s="15"/>
      <c r="F54" s="15"/>
      <c r="G54" s="15"/>
      <c r="H54" s="15"/>
      <c r="I54" s="15"/>
      <c r="J54" s="15"/>
    </row>
    <row r="55" ht="20" customHeight="1" spans="1:10">
      <c r="A55" s="4" t="s">
        <v>2</v>
      </c>
      <c r="B55" s="5" t="s">
        <v>3</v>
      </c>
      <c r="C55" s="4" t="s">
        <v>4</v>
      </c>
      <c r="D55" s="4" t="s">
        <v>5</v>
      </c>
      <c r="E55" s="4" t="s">
        <v>6</v>
      </c>
      <c r="F55" s="4" t="s">
        <v>7</v>
      </c>
      <c r="G55" s="4" t="s">
        <v>8</v>
      </c>
      <c r="H55" s="4" t="s">
        <v>9</v>
      </c>
      <c r="I55" s="4" t="s">
        <v>10</v>
      </c>
      <c r="J55" s="4" t="s">
        <v>11</v>
      </c>
    </row>
    <row r="56" ht="20" customHeight="1" spans="1:10">
      <c r="A56" s="6">
        <v>1</v>
      </c>
      <c r="B56" s="7" t="str">
        <f t="shared" ref="B56:B74" si="15">"003"</f>
        <v>003</v>
      </c>
      <c r="C56" s="7" t="str">
        <f>"丁宁"</f>
        <v>丁宁</v>
      </c>
      <c r="D56" s="7" t="str">
        <f>"20210031228"</f>
        <v>20210031228</v>
      </c>
      <c r="E56" s="7" t="str">
        <f>"12"</f>
        <v>12</v>
      </c>
      <c r="F56" s="7" t="str">
        <f>"28"</f>
        <v>28</v>
      </c>
      <c r="G56" s="8">
        <v>89.1</v>
      </c>
      <c r="H56" s="8">
        <v>89.3</v>
      </c>
      <c r="I56" s="8">
        <v>89.24</v>
      </c>
      <c r="J56" s="17">
        <v>44435</v>
      </c>
    </row>
    <row r="57" ht="20" customHeight="1" spans="1:10">
      <c r="A57" s="6">
        <v>2</v>
      </c>
      <c r="B57" s="7" t="str">
        <f t="shared" si="15"/>
        <v>003</v>
      </c>
      <c r="C57" s="7" t="str">
        <f>"顾景欣"</f>
        <v>顾景欣</v>
      </c>
      <c r="D57" s="7" t="str">
        <f>"20210031230"</f>
        <v>20210031230</v>
      </c>
      <c r="E57" s="7" t="str">
        <f>"12"</f>
        <v>12</v>
      </c>
      <c r="F57" s="7" t="str">
        <f>"30"</f>
        <v>30</v>
      </c>
      <c r="G57" s="8">
        <v>87.6</v>
      </c>
      <c r="H57" s="8">
        <v>81.7</v>
      </c>
      <c r="I57" s="8">
        <v>83.47</v>
      </c>
      <c r="J57" s="17">
        <v>44435</v>
      </c>
    </row>
    <row r="58" ht="20" customHeight="1" spans="1:10">
      <c r="A58" s="6">
        <v>3</v>
      </c>
      <c r="B58" s="7" t="str">
        <f t="shared" si="15"/>
        <v>003</v>
      </c>
      <c r="C58" s="7" t="str">
        <f>"杨冰青"</f>
        <v>杨冰青</v>
      </c>
      <c r="D58" s="7" t="str">
        <f>"20210030918"</f>
        <v>20210030918</v>
      </c>
      <c r="E58" s="7" t="str">
        <f t="shared" ref="E58" si="16">"09"</f>
        <v>09</v>
      </c>
      <c r="F58" s="7" t="str">
        <f>"18"</f>
        <v>18</v>
      </c>
      <c r="G58" s="8">
        <v>87.6</v>
      </c>
      <c r="H58" s="8">
        <v>81.1</v>
      </c>
      <c r="I58" s="8">
        <v>83.05</v>
      </c>
      <c r="J58" s="17">
        <v>44435</v>
      </c>
    </row>
    <row r="59" ht="20" customHeight="1" spans="1:10">
      <c r="A59" s="6">
        <v>4</v>
      </c>
      <c r="B59" s="7" t="str">
        <f t="shared" si="15"/>
        <v>003</v>
      </c>
      <c r="C59" s="7" t="str">
        <f>"关梦婷"</f>
        <v>关梦婷</v>
      </c>
      <c r="D59" s="7" t="str">
        <f>"20210031129"</f>
        <v>20210031129</v>
      </c>
      <c r="E59" s="7" t="str">
        <f t="shared" ref="E59:E64" si="17">"11"</f>
        <v>11</v>
      </c>
      <c r="F59" s="7" t="str">
        <f>"29"</f>
        <v>29</v>
      </c>
      <c r="G59" s="8">
        <v>82.2</v>
      </c>
      <c r="H59" s="8">
        <v>83</v>
      </c>
      <c r="I59" s="8">
        <v>82.76</v>
      </c>
      <c r="J59" s="17">
        <v>44435</v>
      </c>
    </row>
    <row r="60" ht="20" customHeight="1" spans="1:10">
      <c r="A60" s="6">
        <v>5</v>
      </c>
      <c r="B60" s="7" t="str">
        <f t="shared" si="15"/>
        <v>003</v>
      </c>
      <c r="C60" s="7" t="str">
        <f>"魏倩文"</f>
        <v>魏倩文</v>
      </c>
      <c r="D60" s="7" t="str">
        <f>"20210031009"</f>
        <v>20210031009</v>
      </c>
      <c r="E60" s="7" t="str">
        <f t="shared" ref="E60:E66" si="18">"10"</f>
        <v>10</v>
      </c>
      <c r="F60" s="7" t="str">
        <f>"09"</f>
        <v>09</v>
      </c>
      <c r="G60" s="8">
        <v>84.8</v>
      </c>
      <c r="H60" s="8">
        <v>78.1</v>
      </c>
      <c r="I60" s="8">
        <v>80.11</v>
      </c>
      <c r="J60" s="17">
        <v>44435</v>
      </c>
    </row>
    <row r="61" ht="20" customHeight="1" spans="1:10">
      <c r="A61" s="6">
        <v>6</v>
      </c>
      <c r="B61" s="7" t="str">
        <f t="shared" si="15"/>
        <v>003</v>
      </c>
      <c r="C61" s="7" t="str">
        <f>"徐红艳"</f>
        <v>徐红艳</v>
      </c>
      <c r="D61" s="7" t="str">
        <f>"20210031113"</f>
        <v>20210031113</v>
      </c>
      <c r="E61" s="7" t="str">
        <f t="shared" si="17"/>
        <v>11</v>
      </c>
      <c r="F61" s="7" t="str">
        <f>"13"</f>
        <v>13</v>
      </c>
      <c r="G61" s="8">
        <v>81.2</v>
      </c>
      <c r="H61" s="8">
        <v>79.4</v>
      </c>
      <c r="I61" s="8">
        <v>79.94</v>
      </c>
      <c r="J61" s="17">
        <v>44435</v>
      </c>
    </row>
    <row r="62" ht="20" customHeight="1" spans="1:10">
      <c r="A62" s="6">
        <v>7</v>
      </c>
      <c r="B62" s="7" t="str">
        <f t="shared" si="15"/>
        <v>003</v>
      </c>
      <c r="C62" s="7" t="str">
        <f>"李灿灿"</f>
        <v>李灿灿</v>
      </c>
      <c r="D62" s="7" t="str">
        <f>"20210031029"</f>
        <v>20210031029</v>
      </c>
      <c r="E62" s="7" t="str">
        <f t="shared" si="18"/>
        <v>10</v>
      </c>
      <c r="F62" s="7" t="str">
        <f>"29"</f>
        <v>29</v>
      </c>
      <c r="G62" s="8">
        <v>82.3</v>
      </c>
      <c r="H62" s="8">
        <v>78.4</v>
      </c>
      <c r="I62" s="8">
        <v>79.57</v>
      </c>
      <c r="J62" s="17">
        <v>44435</v>
      </c>
    </row>
    <row r="63" ht="20" customHeight="1" spans="1:10">
      <c r="A63" s="6">
        <v>8</v>
      </c>
      <c r="B63" s="7" t="str">
        <f t="shared" si="15"/>
        <v>003</v>
      </c>
      <c r="C63" s="7" t="str">
        <f>"刘佳雯"</f>
        <v>刘佳雯</v>
      </c>
      <c r="D63" s="7" t="str">
        <f>"20210031310"</f>
        <v>20210031310</v>
      </c>
      <c r="E63" s="7" t="str">
        <f>"13"</f>
        <v>13</v>
      </c>
      <c r="F63" s="7" t="str">
        <f>"10"</f>
        <v>10</v>
      </c>
      <c r="G63" s="8">
        <v>73.6</v>
      </c>
      <c r="H63" s="8">
        <v>81.9</v>
      </c>
      <c r="I63" s="8">
        <v>79.41</v>
      </c>
      <c r="J63" s="17">
        <v>44435</v>
      </c>
    </row>
    <row r="64" ht="20" customHeight="1" spans="1:10">
      <c r="A64" s="6">
        <v>9</v>
      </c>
      <c r="B64" s="7" t="str">
        <f t="shared" si="15"/>
        <v>003</v>
      </c>
      <c r="C64" s="7" t="str">
        <f>"冯锦文"</f>
        <v>冯锦文</v>
      </c>
      <c r="D64" s="7" t="str">
        <f>"20210031125"</f>
        <v>20210031125</v>
      </c>
      <c r="E64" s="7" t="str">
        <f t="shared" si="17"/>
        <v>11</v>
      </c>
      <c r="F64" s="7" t="str">
        <f>"25"</f>
        <v>25</v>
      </c>
      <c r="G64" s="8">
        <v>85.4</v>
      </c>
      <c r="H64" s="8">
        <v>76.6</v>
      </c>
      <c r="I64" s="8">
        <v>79.24</v>
      </c>
      <c r="J64" s="17">
        <v>44435</v>
      </c>
    </row>
    <row r="65" ht="20" customHeight="1" spans="1:10">
      <c r="A65" s="6">
        <v>10</v>
      </c>
      <c r="B65" s="7" t="str">
        <f t="shared" si="15"/>
        <v>003</v>
      </c>
      <c r="C65" s="7" t="str">
        <f>"谢娜"</f>
        <v>谢娜</v>
      </c>
      <c r="D65" s="7" t="str">
        <f>"20210031015"</f>
        <v>20210031015</v>
      </c>
      <c r="E65" s="7" t="str">
        <f t="shared" si="18"/>
        <v>10</v>
      </c>
      <c r="F65" s="7" t="str">
        <f>"15"</f>
        <v>15</v>
      </c>
      <c r="G65" s="8">
        <v>78.4</v>
      </c>
      <c r="H65" s="8">
        <v>79.3</v>
      </c>
      <c r="I65" s="8">
        <v>79.03</v>
      </c>
      <c r="J65" s="17">
        <v>44435</v>
      </c>
    </row>
    <row r="66" ht="20" customHeight="1" spans="1:10">
      <c r="A66" s="6">
        <v>11</v>
      </c>
      <c r="B66" s="7" t="str">
        <f t="shared" si="15"/>
        <v>003</v>
      </c>
      <c r="C66" s="7" t="str">
        <f>"刘雅洁"</f>
        <v>刘雅洁</v>
      </c>
      <c r="D66" s="7" t="str">
        <f>"20210031011"</f>
        <v>20210031011</v>
      </c>
      <c r="E66" s="7" t="str">
        <f t="shared" si="18"/>
        <v>10</v>
      </c>
      <c r="F66" s="7" t="str">
        <f>"11"</f>
        <v>11</v>
      </c>
      <c r="G66" s="8">
        <v>85.4</v>
      </c>
      <c r="H66" s="8">
        <v>76.2</v>
      </c>
      <c r="I66" s="8">
        <v>78.96</v>
      </c>
      <c r="J66" s="17">
        <v>44435</v>
      </c>
    </row>
    <row r="67" ht="20" customHeight="1" spans="1:10">
      <c r="A67" s="6">
        <v>12</v>
      </c>
      <c r="B67" s="7" t="str">
        <f t="shared" si="15"/>
        <v>003</v>
      </c>
      <c r="C67" s="7" t="str">
        <f>"郭文婷"</f>
        <v>郭文婷</v>
      </c>
      <c r="D67" s="7" t="str">
        <f>"20210031119"</f>
        <v>20210031119</v>
      </c>
      <c r="E67" s="7" t="str">
        <f>"11"</f>
        <v>11</v>
      </c>
      <c r="F67" s="7" t="str">
        <f>"19"</f>
        <v>19</v>
      </c>
      <c r="G67" s="8">
        <v>83</v>
      </c>
      <c r="H67" s="8">
        <v>76.6</v>
      </c>
      <c r="I67" s="8">
        <v>78.52</v>
      </c>
      <c r="J67" s="17">
        <v>44435</v>
      </c>
    </row>
    <row r="68" ht="20" customHeight="1" spans="1:10">
      <c r="A68" s="6">
        <v>13</v>
      </c>
      <c r="B68" s="7" t="str">
        <f t="shared" si="15"/>
        <v>003</v>
      </c>
      <c r="C68" s="7" t="str">
        <f>"梁文雅"</f>
        <v>梁文雅</v>
      </c>
      <c r="D68" s="7" t="str">
        <f>"20210031008"</f>
        <v>20210031008</v>
      </c>
      <c r="E68" s="7" t="str">
        <f t="shared" ref="E68:E70" si="19">"10"</f>
        <v>10</v>
      </c>
      <c r="F68" s="7" t="str">
        <f>"08"</f>
        <v>08</v>
      </c>
      <c r="G68" s="8">
        <v>81</v>
      </c>
      <c r="H68" s="8">
        <v>77</v>
      </c>
      <c r="I68" s="8">
        <v>78.2</v>
      </c>
      <c r="J68" s="17">
        <v>44435</v>
      </c>
    </row>
    <row r="69" ht="20" customHeight="1" spans="1:10">
      <c r="A69" s="6">
        <v>14</v>
      </c>
      <c r="B69" s="7" t="str">
        <f t="shared" si="15"/>
        <v>003</v>
      </c>
      <c r="C69" s="7" t="str">
        <f>"陆慧慧"</f>
        <v>陆慧慧</v>
      </c>
      <c r="D69" s="7" t="str">
        <f>"20210031106"</f>
        <v>20210031106</v>
      </c>
      <c r="E69" s="7" t="str">
        <f>"11"</f>
        <v>11</v>
      </c>
      <c r="F69" s="7" t="str">
        <f>"06"</f>
        <v>06</v>
      </c>
      <c r="G69" s="8">
        <v>82.1</v>
      </c>
      <c r="H69" s="8">
        <v>76.3</v>
      </c>
      <c r="I69" s="8">
        <v>78.04</v>
      </c>
      <c r="J69" s="17">
        <v>44435</v>
      </c>
    </row>
    <row r="70" ht="20" customHeight="1" spans="1:10">
      <c r="A70" s="6">
        <v>15</v>
      </c>
      <c r="B70" s="7" t="str">
        <f t="shared" si="15"/>
        <v>003</v>
      </c>
      <c r="C70" s="7" t="str">
        <f>"周靖宇"</f>
        <v>周靖宇</v>
      </c>
      <c r="D70" s="7" t="str">
        <f>"20210031027"</f>
        <v>20210031027</v>
      </c>
      <c r="E70" s="7" t="str">
        <f t="shared" si="19"/>
        <v>10</v>
      </c>
      <c r="F70" s="7" t="str">
        <f>"27"</f>
        <v>27</v>
      </c>
      <c r="G70" s="8">
        <v>78.4</v>
      </c>
      <c r="H70" s="8">
        <v>77.5</v>
      </c>
      <c r="I70" s="8">
        <v>77.77</v>
      </c>
      <c r="J70" s="17">
        <v>44435</v>
      </c>
    </row>
    <row r="71" ht="20" customHeight="1" spans="1:10">
      <c r="A71" s="6">
        <v>16</v>
      </c>
      <c r="B71" s="7" t="str">
        <f t="shared" si="15"/>
        <v>003</v>
      </c>
      <c r="C71" s="7" t="str">
        <f>"陈晴晴"</f>
        <v>陈晴晴</v>
      </c>
      <c r="D71" s="7" t="str">
        <f>"20210030923"</f>
        <v>20210030923</v>
      </c>
      <c r="E71" s="7" t="str">
        <f>"09"</f>
        <v>09</v>
      </c>
      <c r="F71" s="7" t="str">
        <f>"23"</f>
        <v>23</v>
      </c>
      <c r="G71" s="8">
        <v>83.1</v>
      </c>
      <c r="H71" s="8">
        <v>75</v>
      </c>
      <c r="I71" s="8">
        <v>77.43</v>
      </c>
      <c r="J71" s="17">
        <v>44435</v>
      </c>
    </row>
    <row r="72" ht="20" customHeight="1" spans="1:10">
      <c r="A72" s="6">
        <v>17</v>
      </c>
      <c r="B72" s="7" t="str">
        <f t="shared" si="15"/>
        <v>003</v>
      </c>
      <c r="C72" s="7" t="str">
        <f>"石玉兰"</f>
        <v>石玉兰</v>
      </c>
      <c r="D72" s="7" t="str">
        <f>"20210031019"</f>
        <v>20210031019</v>
      </c>
      <c r="E72" s="7" t="str">
        <f t="shared" ref="E72:E74" si="20">"10"</f>
        <v>10</v>
      </c>
      <c r="F72" s="7" t="str">
        <f>"19"</f>
        <v>19</v>
      </c>
      <c r="G72" s="8">
        <v>87.7</v>
      </c>
      <c r="H72" s="8">
        <v>72.5</v>
      </c>
      <c r="I72" s="8">
        <v>77.06</v>
      </c>
      <c r="J72" s="17">
        <v>44435</v>
      </c>
    </row>
    <row r="73" ht="20" customHeight="1" spans="1:10">
      <c r="A73" s="6">
        <v>18</v>
      </c>
      <c r="B73" s="7" t="str">
        <f t="shared" si="15"/>
        <v>003</v>
      </c>
      <c r="C73" s="7" t="str">
        <f>"田翔月"</f>
        <v>田翔月</v>
      </c>
      <c r="D73" s="7" t="str">
        <f>"20210031312"</f>
        <v>20210031312</v>
      </c>
      <c r="E73" s="7" t="str">
        <f>"13"</f>
        <v>13</v>
      </c>
      <c r="F73" s="7" t="str">
        <f>"12"</f>
        <v>12</v>
      </c>
      <c r="G73" s="8">
        <v>70.2</v>
      </c>
      <c r="H73" s="8">
        <v>79.8</v>
      </c>
      <c r="I73" s="8">
        <v>76.92</v>
      </c>
      <c r="J73" s="17">
        <v>44435</v>
      </c>
    </row>
    <row r="74" ht="20" customHeight="1" spans="1:10">
      <c r="A74" s="6">
        <v>19</v>
      </c>
      <c r="B74" s="7" t="str">
        <f t="shared" si="15"/>
        <v>003</v>
      </c>
      <c r="C74" s="7" t="str">
        <f>"程佳妮"</f>
        <v>程佳妮</v>
      </c>
      <c r="D74" s="7" t="str">
        <f>"20210031005"</f>
        <v>20210031005</v>
      </c>
      <c r="E74" s="7" t="str">
        <f t="shared" si="20"/>
        <v>10</v>
      </c>
      <c r="F74" s="7" t="str">
        <f>"05"</f>
        <v>05</v>
      </c>
      <c r="G74" s="8">
        <v>72.5</v>
      </c>
      <c r="H74" s="8">
        <v>78.5</v>
      </c>
      <c r="I74" s="8">
        <v>76.7</v>
      </c>
      <c r="J74" s="17">
        <v>44435</v>
      </c>
    </row>
    <row r="75" ht="20" customHeight="1" spans="1:10">
      <c r="A75" s="6">
        <v>20</v>
      </c>
      <c r="B75" s="9" t="s">
        <v>18</v>
      </c>
      <c r="C75" s="10" t="str">
        <f>"谢影"</f>
        <v>谢影</v>
      </c>
      <c r="D75" s="10" t="str">
        <f>"20210031130"</f>
        <v>20210031130</v>
      </c>
      <c r="E75" s="10" t="str">
        <f>"11"</f>
        <v>11</v>
      </c>
      <c r="F75" s="10" t="str">
        <f>"30"</f>
        <v>30</v>
      </c>
      <c r="G75" s="11">
        <v>88.5</v>
      </c>
      <c r="H75" s="11">
        <v>71.6</v>
      </c>
      <c r="I75" s="11">
        <v>76.67</v>
      </c>
      <c r="J75" s="17">
        <v>44435</v>
      </c>
    </row>
    <row r="76" ht="20" customHeight="1" spans="1:10">
      <c r="A76" s="6">
        <v>21</v>
      </c>
      <c r="B76" s="9" t="s">
        <v>19</v>
      </c>
      <c r="C76" s="10" t="str">
        <f>"霍新英"</f>
        <v>霍新英</v>
      </c>
      <c r="D76" s="10" t="str">
        <f>"20210031024"</f>
        <v>20210031024</v>
      </c>
      <c r="E76" s="10" t="str">
        <f>"10"</f>
        <v>10</v>
      </c>
      <c r="F76" s="10" t="str">
        <f>"24"</f>
        <v>24</v>
      </c>
      <c r="G76" s="11">
        <v>85.5</v>
      </c>
      <c r="H76" s="11">
        <v>72.4</v>
      </c>
      <c r="I76" s="11">
        <v>76.33</v>
      </c>
      <c r="J76" s="17">
        <v>44435</v>
      </c>
    </row>
    <row r="77" ht="20" customHeight="1" spans="1:10">
      <c r="A77" s="14" t="s">
        <v>20</v>
      </c>
      <c r="B77" s="15"/>
      <c r="C77" s="15"/>
      <c r="D77" s="15"/>
      <c r="E77" s="15"/>
      <c r="F77" s="15"/>
      <c r="G77" s="15"/>
      <c r="H77" s="15"/>
      <c r="I77" s="15"/>
      <c r="J77" s="18"/>
    </row>
    <row r="78" ht="20" customHeight="1" spans="1:10">
      <c r="A78" s="4" t="s">
        <v>2</v>
      </c>
      <c r="B78" s="5" t="s">
        <v>3</v>
      </c>
      <c r="C78" s="4" t="s">
        <v>4</v>
      </c>
      <c r="D78" s="4" t="s">
        <v>5</v>
      </c>
      <c r="E78" s="4" t="s">
        <v>6</v>
      </c>
      <c r="F78" s="4" t="s">
        <v>7</v>
      </c>
      <c r="G78" s="4" t="s">
        <v>8</v>
      </c>
      <c r="H78" s="4" t="s">
        <v>9</v>
      </c>
      <c r="I78" s="4" t="s">
        <v>10</v>
      </c>
      <c r="J78" s="4" t="s">
        <v>11</v>
      </c>
    </row>
    <row r="79" ht="20" customHeight="1" spans="1:10">
      <c r="A79" s="6">
        <v>1</v>
      </c>
      <c r="B79" s="7" t="str">
        <f t="shared" ref="B79:B88" si="21">"004"</f>
        <v>004</v>
      </c>
      <c r="C79" s="7" t="str">
        <f>"马贝贝"</f>
        <v>马贝贝</v>
      </c>
      <c r="D79" s="7" t="str">
        <f>"20210041324"</f>
        <v>20210041324</v>
      </c>
      <c r="E79" s="7" t="str">
        <f t="shared" ref="E79" si="22">"13"</f>
        <v>13</v>
      </c>
      <c r="F79" s="7" t="str">
        <f>"24"</f>
        <v>24</v>
      </c>
      <c r="G79" s="8">
        <v>85</v>
      </c>
      <c r="H79" s="8">
        <v>88.5</v>
      </c>
      <c r="I79" s="8">
        <v>87.45</v>
      </c>
      <c r="J79" s="17">
        <v>44435</v>
      </c>
    </row>
    <row r="80" ht="20" customHeight="1" spans="1:10">
      <c r="A80" s="6">
        <v>2</v>
      </c>
      <c r="B80" s="7" t="str">
        <f t="shared" si="21"/>
        <v>004</v>
      </c>
      <c r="C80" s="7" t="str">
        <f>"杨雪丽"</f>
        <v>杨雪丽</v>
      </c>
      <c r="D80" s="7" t="str">
        <f>"20210041611"</f>
        <v>20210041611</v>
      </c>
      <c r="E80" s="7" t="str">
        <f>"16"</f>
        <v>16</v>
      </c>
      <c r="F80" s="7" t="str">
        <f>"11"</f>
        <v>11</v>
      </c>
      <c r="G80" s="8">
        <v>79.6</v>
      </c>
      <c r="H80" s="8">
        <v>83.2</v>
      </c>
      <c r="I80" s="8">
        <v>82.12</v>
      </c>
      <c r="J80" s="17">
        <v>44435</v>
      </c>
    </row>
    <row r="81" ht="20" customHeight="1" spans="1:10">
      <c r="A81" s="6">
        <v>3</v>
      </c>
      <c r="B81" s="7" t="str">
        <f t="shared" si="21"/>
        <v>004</v>
      </c>
      <c r="C81" s="7" t="str">
        <f>"李妍妍"</f>
        <v>李妍妍</v>
      </c>
      <c r="D81" s="7" t="str">
        <f>"20210041329"</f>
        <v>20210041329</v>
      </c>
      <c r="E81" s="7" t="str">
        <f>"13"</f>
        <v>13</v>
      </c>
      <c r="F81" s="7" t="str">
        <f>"29"</f>
        <v>29</v>
      </c>
      <c r="G81" s="8">
        <v>80.5</v>
      </c>
      <c r="H81" s="8">
        <v>80.1</v>
      </c>
      <c r="I81" s="8">
        <v>80.22</v>
      </c>
      <c r="J81" s="17">
        <v>44435</v>
      </c>
    </row>
    <row r="82" ht="20" customHeight="1" spans="1:10">
      <c r="A82" s="6">
        <v>4</v>
      </c>
      <c r="B82" s="7" t="str">
        <f t="shared" si="21"/>
        <v>004</v>
      </c>
      <c r="C82" s="7" t="str">
        <f>"张艳"</f>
        <v>张艳</v>
      </c>
      <c r="D82" s="7" t="str">
        <f>"20210041520"</f>
        <v>20210041520</v>
      </c>
      <c r="E82" s="7" t="str">
        <f t="shared" ref="E82" si="23">"15"</f>
        <v>15</v>
      </c>
      <c r="F82" s="7" t="str">
        <f>"20"</f>
        <v>20</v>
      </c>
      <c r="G82" s="8">
        <v>82.5</v>
      </c>
      <c r="H82" s="8">
        <v>78.5</v>
      </c>
      <c r="I82" s="8">
        <v>79.7</v>
      </c>
      <c r="J82" s="17">
        <v>44435</v>
      </c>
    </row>
    <row r="83" ht="20" customHeight="1" spans="1:10">
      <c r="A83" s="6">
        <v>5</v>
      </c>
      <c r="B83" s="7" t="str">
        <f t="shared" si="21"/>
        <v>004</v>
      </c>
      <c r="C83" s="7" t="str">
        <f>"王洁"</f>
        <v>王洁</v>
      </c>
      <c r="D83" s="7" t="str">
        <f>"20210041616"</f>
        <v>20210041616</v>
      </c>
      <c r="E83" s="7" t="str">
        <f>"16"</f>
        <v>16</v>
      </c>
      <c r="F83" s="7" t="str">
        <f>"16"</f>
        <v>16</v>
      </c>
      <c r="G83" s="8">
        <v>77.5</v>
      </c>
      <c r="H83" s="8">
        <v>80.6</v>
      </c>
      <c r="I83" s="8">
        <v>79.67</v>
      </c>
      <c r="J83" s="17">
        <v>44435</v>
      </c>
    </row>
    <row r="84" ht="20" customHeight="1" spans="1:10">
      <c r="A84" s="6">
        <v>6</v>
      </c>
      <c r="B84" s="7" t="str">
        <f t="shared" si="21"/>
        <v>004</v>
      </c>
      <c r="C84" s="7" t="str">
        <f>"姚晓宇"</f>
        <v>姚晓宇</v>
      </c>
      <c r="D84" s="7" t="str">
        <f>"20210041423"</f>
        <v>20210041423</v>
      </c>
      <c r="E84" s="7" t="str">
        <f t="shared" ref="E84:E87" si="24">"14"</f>
        <v>14</v>
      </c>
      <c r="F84" s="7" t="str">
        <f>"23"</f>
        <v>23</v>
      </c>
      <c r="G84" s="8">
        <v>79.8</v>
      </c>
      <c r="H84" s="8">
        <v>79.2</v>
      </c>
      <c r="I84" s="8">
        <v>79.38</v>
      </c>
      <c r="J84" s="17">
        <v>44435</v>
      </c>
    </row>
    <row r="85" ht="20" customHeight="1" spans="1:10">
      <c r="A85" s="6">
        <v>7</v>
      </c>
      <c r="B85" s="7" t="str">
        <f t="shared" si="21"/>
        <v>004</v>
      </c>
      <c r="C85" s="7" t="str">
        <f>"颜孟雪"</f>
        <v>颜孟雪</v>
      </c>
      <c r="D85" s="7" t="str">
        <f>"20210041323"</f>
        <v>20210041323</v>
      </c>
      <c r="E85" s="7" t="str">
        <f>"13"</f>
        <v>13</v>
      </c>
      <c r="F85" s="7" t="str">
        <f>"23"</f>
        <v>23</v>
      </c>
      <c r="G85" s="8">
        <v>79.1</v>
      </c>
      <c r="H85" s="8">
        <v>79.2</v>
      </c>
      <c r="I85" s="8">
        <v>79.17</v>
      </c>
      <c r="J85" s="17">
        <v>44435</v>
      </c>
    </row>
    <row r="86" ht="20" customHeight="1" spans="1:10">
      <c r="A86" s="6">
        <v>8</v>
      </c>
      <c r="B86" s="7" t="str">
        <f t="shared" si="21"/>
        <v>004</v>
      </c>
      <c r="C86" s="7" t="str">
        <f>"朱慧晨"</f>
        <v>朱慧晨</v>
      </c>
      <c r="D86" s="7" t="str">
        <f>"20210041422"</f>
        <v>20210041422</v>
      </c>
      <c r="E86" s="7" t="str">
        <f t="shared" si="24"/>
        <v>14</v>
      </c>
      <c r="F86" s="7" t="str">
        <f>"22"</f>
        <v>22</v>
      </c>
      <c r="G86" s="8">
        <v>80.3</v>
      </c>
      <c r="H86" s="8">
        <v>78.2</v>
      </c>
      <c r="I86" s="8">
        <v>78.83</v>
      </c>
      <c r="J86" s="17">
        <v>44435</v>
      </c>
    </row>
    <row r="87" ht="20" customHeight="1" spans="1:10">
      <c r="A87" s="6">
        <v>9</v>
      </c>
      <c r="B87" s="7" t="str">
        <f t="shared" si="21"/>
        <v>004</v>
      </c>
      <c r="C87" s="7" t="str">
        <f>"管洁洁"</f>
        <v>管洁洁</v>
      </c>
      <c r="D87" s="7" t="str">
        <f>"20210041404"</f>
        <v>20210041404</v>
      </c>
      <c r="E87" s="7" t="str">
        <f t="shared" si="24"/>
        <v>14</v>
      </c>
      <c r="F87" s="7" t="str">
        <f>"04"</f>
        <v>04</v>
      </c>
      <c r="G87" s="8">
        <v>84.2</v>
      </c>
      <c r="H87" s="8">
        <v>76.3</v>
      </c>
      <c r="I87" s="8">
        <v>78.67</v>
      </c>
      <c r="J87" s="17">
        <v>44435</v>
      </c>
    </row>
    <row r="88" ht="20" customHeight="1" spans="1:10">
      <c r="A88" s="6">
        <v>10</v>
      </c>
      <c r="B88" s="7" t="str">
        <f t="shared" si="21"/>
        <v>004</v>
      </c>
      <c r="C88" s="7" t="str">
        <f>"杨雪丽"</f>
        <v>杨雪丽</v>
      </c>
      <c r="D88" s="7" t="str">
        <f>"20210041330"</f>
        <v>20210041330</v>
      </c>
      <c r="E88" s="7" t="str">
        <f>"13"</f>
        <v>13</v>
      </c>
      <c r="F88" s="7" t="str">
        <f>"30"</f>
        <v>30</v>
      </c>
      <c r="G88" s="8">
        <v>84.3</v>
      </c>
      <c r="H88" s="8">
        <v>75.6</v>
      </c>
      <c r="I88" s="8">
        <v>78.21</v>
      </c>
      <c r="J88" s="17">
        <v>44435</v>
      </c>
    </row>
    <row r="89" ht="20" customHeight="1" spans="1:10">
      <c r="A89" s="6">
        <v>11</v>
      </c>
      <c r="B89" s="9" t="s">
        <v>21</v>
      </c>
      <c r="C89" s="10" t="str">
        <f>"张梦雅"</f>
        <v>张梦雅</v>
      </c>
      <c r="D89" s="10" t="str">
        <f>"20210041524"</f>
        <v>20210041524</v>
      </c>
      <c r="E89" s="10" t="str">
        <f t="shared" ref="E89" si="25">"15"</f>
        <v>15</v>
      </c>
      <c r="F89" s="10" t="str">
        <f>"24"</f>
        <v>24</v>
      </c>
      <c r="G89" s="11">
        <v>74.6</v>
      </c>
      <c r="H89" s="11">
        <v>76.5</v>
      </c>
      <c r="I89" s="11">
        <v>75.93</v>
      </c>
      <c r="J89" s="17">
        <v>44435</v>
      </c>
    </row>
    <row r="90" ht="20" customHeight="1" spans="1:10">
      <c r="A90" s="6">
        <v>12</v>
      </c>
      <c r="B90" s="9" t="s">
        <v>22</v>
      </c>
      <c r="C90" s="10" t="str">
        <f>"孟贞"</f>
        <v>孟贞</v>
      </c>
      <c r="D90" s="10" t="str">
        <f>"20210041321"</f>
        <v>20210041321</v>
      </c>
      <c r="E90" s="10" t="str">
        <f>"13"</f>
        <v>13</v>
      </c>
      <c r="F90" s="10" t="str">
        <f>"21"</f>
        <v>21</v>
      </c>
      <c r="G90" s="11">
        <v>77.9</v>
      </c>
      <c r="H90" s="11">
        <v>74.4</v>
      </c>
      <c r="I90" s="11">
        <v>75.45</v>
      </c>
      <c r="J90" s="17">
        <v>44435</v>
      </c>
    </row>
    <row r="91" ht="20" customHeight="1" spans="1:10">
      <c r="A91" s="6">
        <v>13</v>
      </c>
      <c r="B91" s="9" t="s">
        <v>22</v>
      </c>
      <c r="C91" s="10" t="str">
        <f>"王雪"</f>
        <v>王雪</v>
      </c>
      <c r="D91" s="10" t="str">
        <f>"20210041620"</f>
        <v>20210041620</v>
      </c>
      <c r="E91" s="10" t="str">
        <f>"16"</f>
        <v>16</v>
      </c>
      <c r="F91" s="10" t="str">
        <f>"20"</f>
        <v>20</v>
      </c>
      <c r="G91" s="11">
        <v>74.1</v>
      </c>
      <c r="H91" s="11">
        <v>73</v>
      </c>
      <c r="I91" s="11">
        <v>73.33</v>
      </c>
      <c r="J91" s="17">
        <v>44435</v>
      </c>
    </row>
    <row r="92" ht="20" customHeight="1" spans="1:10">
      <c r="A92" s="6">
        <v>14</v>
      </c>
      <c r="B92" s="16" t="s">
        <v>21</v>
      </c>
      <c r="C92" s="12" t="str">
        <f>"王舒星"</f>
        <v>王舒星</v>
      </c>
      <c r="D92" s="12" t="str">
        <f>"20210041419"</f>
        <v>20210041419</v>
      </c>
      <c r="E92" s="12" t="str">
        <f t="shared" ref="E92:E93" si="26">"14"</f>
        <v>14</v>
      </c>
      <c r="F92" s="12" t="str">
        <f>"19"</f>
        <v>19</v>
      </c>
      <c r="G92" s="13">
        <v>67.4</v>
      </c>
      <c r="H92" s="13">
        <v>75.8</v>
      </c>
      <c r="I92" s="13">
        <v>73.28</v>
      </c>
      <c r="J92" s="17">
        <v>44435</v>
      </c>
    </row>
    <row r="93" ht="20" customHeight="1" spans="1:10">
      <c r="A93" s="6">
        <v>15</v>
      </c>
      <c r="B93" s="16" t="s">
        <v>21</v>
      </c>
      <c r="C93" s="12" t="str">
        <f>"孟方方"</f>
        <v>孟方方</v>
      </c>
      <c r="D93" s="12" t="str">
        <f>"20210041426"</f>
        <v>20210041426</v>
      </c>
      <c r="E93" s="12" t="str">
        <f t="shared" si="26"/>
        <v>14</v>
      </c>
      <c r="F93" s="12" t="str">
        <f>"26"</f>
        <v>26</v>
      </c>
      <c r="G93" s="13">
        <v>78.5</v>
      </c>
      <c r="H93" s="13">
        <v>69.9</v>
      </c>
      <c r="I93" s="13">
        <v>72.48</v>
      </c>
      <c r="J93" s="17">
        <v>44435</v>
      </c>
    </row>
    <row r="94" ht="20" customHeight="1" spans="1:10">
      <c r="A94" s="6">
        <v>16</v>
      </c>
      <c r="B94" s="16" t="s">
        <v>21</v>
      </c>
      <c r="C94" s="12" t="str">
        <f>"王紫嫣"</f>
        <v>王紫嫣</v>
      </c>
      <c r="D94" s="12" t="str">
        <f>"20210041327"</f>
        <v>20210041327</v>
      </c>
      <c r="E94" s="12" t="str">
        <f>"13"</f>
        <v>13</v>
      </c>
      <c r="F94" s="12" t="str">
        <f>"27"</f>
        <v>27</v>
      </c>
      <c r="G94" s="13">
        <v>73.9</v>
      </c>
      <c r="H94" s="13">
        <v>71.8</v>
      </c>
      <c r="I94" s="13">
        <v>72.43</v>
      </c>
      <c r="J94" s="17">
        <v>44435</v>
      </c>
    </row>
    <row r="95" ht="20" customHeight="1" spans="1:10">
      <c r="A95" s="6">
        <v>17</v>
      </c>
      <c r="B95" s="7" t="str">
        <f t="shared" ref="B95:B107" si="27">"009"</f>
        <v>009</v>
      </c>
      <c r="C95" s="7" t="str">
        <f>"黄梦晴 "</f>
        <v>黄梦晴 </v>
      </c>
      <c r="D95" s="7" t="str">
        <f>"20210093406"</f>
        <v>20210093406</v>
      </c>
      <c r="E95" s="7" t="str">
        <f t="shared" ref="E95:E97" si="28">"34"</f>
        <v>34</v>
      </c>
      <c r="F95" s="7" t="str">
        <f>"06"</f>
        <v>06</v>
      </c>
      <c r="G95" s="8">
        <v>86.4</v>
      </c>
      <c r="H95" s="8">
        <v>85.9</v>
      </c>
      <c r="I95" s="8">
        <v>86.05</v>
      </c>
      <c r="J95" s="17">
        <v>44435</v>
      </c>
    </row>
    <row r="96" ht="20" customHeight="1" spans="1:10">
      <c r="A96" s="6">
        <v>18</v>
      </c>
      <c r="B96" s="7" t="str">
        <f t="shared" si="27"/>
        <v>009</v>
      </c>
      <c r="C96" s="7" t="str">
        <f>"刘瑾茹"</f>
        <v>刘瑾茹</v>
      </c>
      <c r="D96" s="7" t="str">
        <f>"20210093514"</f>
        <v>20210093514</v>
      </c>
      <c r="E96" s="7" t="str">
        <f>"35"</f>
        <v>35</v>
      </c>
      <c r="F96" s="7" t="str">
        <f>"14"</f>
        <v>14</v>
      </c>
      <c r="G96" s="8">
        <v>82.6</v>
      </c>
      <c r="H96" s="8">
        <v>81.5</v>
      </c>
      <c r="I96" s="8">
        <v>81.83</v>
      </c>
      <c r="J96" s="17">
        <v>44435</v>
      </c>
    </row>
    <row r="97" ht="20" customHeight="1" spans="1:10">
      <c r="A97" s="6">
        <v>19</v>
      </c>
      <c r="B97" s="7" t="str">
        <f t="shared" si="27"/>
        <v>009</v>
      </c>
      <c r="C97" s="7" t="str">
        <f>"汝丽"</f>
        <v>汝丽</v>
      </c>
      <c r="D97" s="7" t="str">
        <f>"20210093407"</f>
        <v>20210093407</v>
      </c>
      <c r="E97" s="7" t="str">
        <f t="shared" si="28"/>
        <v>34</v>
      </c>
      <c r="F97" s="7" t="str">
        <f>"07"</f>
        <v>07</v>
      </c>
      <c r="G97" s="8">
        <v>84.5</v>
      </c>
      <c r="H97" s="8">
        <v>80.6</v>
      </c>
      <c r="I97" s="8">
        <v>81.77</v>
      </c>
      <c r="J97" s="17">
        <v>44435</v>
      </c>
    </row>
    <row r="98" ht="20" customHeight="1" spans="1:10">
      <c r="A98" s="6">
        <v>20</v>
      </c>
      <c r="B98" s="7" t="str">
        <f t="shared" si="27"/>
        <v>009</v>
      </c>
      <c r="C98" s="7" t="str">
        <f>"凡梦蝶"</f>
        <v>凡梦蝶</v>
      </c>
      <c r="D98" s="7" t="str">
        <f>"20210093315"</f>
        <v>20210093315</v>
      </c>
      <c r="E98" s="7" t="str">
        <f t="shared" ref="E98:E101" si="29">"33"</f>
        <v>33</v>
      </c>
      <c r="F98" s="7" t="str">
        <f>"15"</f>
        <v>15</v>
      </c>
      <c r="G98" s="8">
        <v>79.4</v>
      </c>
      <c r="H98" s="8">
        <v>81.9</v>
      </c>
      <c r="I98" s="8">
        <v>81.15</v>
      </c>
      <c r="J98" s="17">
        <v>44435</v>
      </c>
    </row>
    <row r="99" ht="20" customHeight="1" spans="1:10">
      <c r="A99" s="6">
        <v>21</v>
      </c>
      <c r="B99" s="7" t="str">
        <f t="shared" si="27"/>
        <v>009</v>
      </c>
      <c r="C99" s="7" t="str">
        <f>"徐宵"</f>
        <v>徐宵</v>
      </c>
      <c r="D99" s="7" t="str">
        <f>"20210093308"</f>
        <v>20210093308</v>
      </c>
      <c r="E99" s="7" t="str">
        <f t="shared" si="29"/>
        <v>33</v>
      </c>
      <c r="F99" s="7" t="str">
        <f>"08"</f>
        <v>08</v>
      </c>
      <c r="G99" s="8">
        <v>86.8</v>
      </c>
      <c r="H99" s="8">
        <v>78.5</v>
      </c>
      <c r="I99" s="8">
        <v>80.99</v>
      </c>
      <c r="J99" s="17">
        <v>44435</v>
      </c>
    </row>
    <row r="100" ht="20" customHeight="1" spans="1:10">
      <c r="A100" s="6">
        <v>22</v>
      </c>
      <c r="B100" s="7" t="str">
        <f t="shared" si="27"/>
        <v>009</v>
      </c>
      <c r="C100" s="7" t="str">
        <f>"牛晓慧"</f>
        <v>牛晓慧</v>
      </c>
      <c r="D100" s="7" t="str">
        <f>"20210093505"</f>
        <v>20210093505</v>
      </c>
      <c r="E100" s="7" t="str">
        <f>"35"</f>
        <v>35</v>
      </c>
      <c r="F100" s="7" t="str">
        <f>"05"</f>
        <v>05</v>
      </c>
      <c r="G100" s="8">
        <v>82.3</v>
      </c>
      <c r="H100" s="8">
        <v>78.8</v>
      </c>
      <c r="I100" s="8">
        <v>79.85</v>
      </c>
      <c r="J100" s="17">
        <v>44435</v>
      </c>
    </row>
    <row r="101" ht="20" customHeight="1" spans="1:10">
      <c r="A101" s="6">
        <v>23</v>
      </c>
      <c r="B101" s="7" t="str">
        <f t="shared" si="27"/>
        <v>009</v>
      </c>
      <c r="C101" s="7" t="str">
        <f>"王欣钰"</f>
        <v>王欣钰</v>
      </c>
      <c r="D101" s="7" t="str">
        <f>"20210093321"</f>
        <v>20210093321</v>
      </c>
      <c r="E101" s="7" t="str">
        <f t="shared" si="29"/>
        <v>33</v>
      </c>
      <c r="F101" s="7" t="str">
        <f>"21"</f>
        <v>21</v>
      </c>
      <c r="G101" s="8">
        <v>83.1</v>
      </c>
      <c r="H101" s="8">
        <v>77.8</v>
      </c>
      <c r="I101" s="8">
        <v>79.39</v>
      </c>
      <c r="J101" s="17">
        <v>44435</v>
      </c>
    </row>
    <row r="102" ht="20" customHeight="1" spans="1:10">
      <c r="A102" s="6">
        <v>24</v>
      </c>
      <c r="B102" s="7" t="str">
        <f t="shared" si="27"/>
        <v>009</v>
      </c>
      <c r="C102" s="7" t="str">
        <f>"马蓓蓓"</f>
        <v>马蓓蓓</v>
      </c>
      <c r="D102" s="7" t="str">
        <f>"20210093418"</f>
        <v>20210093418</v>
      </c>
      <c r="E102" s="7" t="str">
        <f t="shared" ref="E102:E104" si="30">"34"</f>
        <v>34</v>
      </c>
      <c r="F102" s="7" t="str">
        <f>"18"</f>
        <v>18</v>
      </c>
      <c r="G102" s="8">
        <v>84.3</v>
      </c>
      <c r="H102" s="8">
        <v>76.2</v>
      </c>
      <c r="I102" s="8">
        <v>78.63</v>
      </c>
      <c r="J102" s="17">
        <v>44435</v>
      </c>
    </row>
    <row r="103" ht="20" customHeight="1" spans="1:10">
      <c r="A103" s="6">
        <v>25</v>
      </c>
      <c r="B103" s="7" t="str">
        <f t="shared" si="27"/>
        <v>009</v>
      </c>
      <c r="C103" s="7" t="str">
        <f>"孙梦辰"</f>
        <v>孙梦辰</v>
      </c>
      <c r="D103" s="7" t="str">
        <f>"20210093410"</f>
        <v>20210093410</v>
      </c>
      <c r="E103" s="7" t="str">
        <f t="shared" si="30"/>
        <v>34</v>
      </c>
      <c r="F103" s="7" t="str">
        <f>"10"</f>
        <v>10</v>
      </c>
      <c r="G103" s="8">
        <v>83.5</v>
      </c>
      <c r="H103" s="8">
        <v>75.6</v>
      </c>
      <c r="I103" s="8">
        <v>77.97</v>
      </c>
      <c r="J103" s="17">
        <v>44435</v>
      </c>
    </row>
    <row r="104" ht="20" customHeight="1" spans="1:10">
      <c r="A104" s="6">
        <v>26</v>
      </c>
      <c r="B104" s="7" t="str">
        <f t="shared" si="27"/>
        <v>009</v>
      </c>
      <c r="C104" s="7" t="str">
        <f>"任珂蓉"</f>
        <v>任珂蓉</v>
      </c>
      <c r="D104" s="7" t="str">
        <f>"20210093413"</f>
        <v>20210093413</v>
      </c>
      <c r="E104" s="7" t="str">
        <f t="shared" si="30"/>
        <v>34</v>
      </c>
      <c r="F104" s="7" t="str">
        <f>"13"</f>
        <v>13</v>
      </c>
      <c r="G104" s="8">
        <v>79.4</v>
      </c>
      <c r="H104" s="8">
        <v>77</v>
      </c>
      <c r="I104" s="8">
        <v>77.72</v>
      </c>
      <c r="J104" s="17">
        <v>44435</v>
      </c>
    </row>
    <row r="105" ht="20" customHeight="1" spans="1:10">
      <c r="A105" s="6">
        <v>27</v>
      </c>
      <c r="B105" s="7" t="str">
        <f t="shared" si="27"/>
        <v>009</v>
      </c>
      <c r="C105" s="7" t="str">
        <f>"冉文慧"</f>
        <v>冉文慧</v>
      </c>
      <c r="D105" s="7" t="str">
        <f>"20210093507"</f>
        <v>20210093507</v>
      </c>
      <c r="E105" s="7" t="str">
        <f>"35"</f>
        <v>35</v>
      </c>
      <c r="F105" s="7" t="str">
        <f>"07"</f>
        <v>07</v>
      </c>
      <c r="G105" s="8">
        <v>83</v>
      </c>
      <c r="H105" s="8">
        <v>75.2</v>
      </c>
      <c r="I105" s="8">
        <v>77.54</v>
      </c>
      <c r="J105" s="17">
        <v>44435</v>
      </c>
    </row>
    <row r="106" ht="20" customHeight="1" spans="1:10">
      <c r="A106" s="6">
        <v>28</v>
      </c>
      <c r="B106" s="7" t="str">
        <f t="shared" si="27"/>
        <v>009</v>
      </c>
      <c r="C106" s="7" t="str">
        <f>"黄飞燕"</f>
        <v>黄飞燕</v>
      </c>
      <c r="D106" s="7" t="str">
        <f>"20210093401"</f>
        <v>20210093401</v>
      </c>
      <c r="E106" s="7" t="str">
        <f>"34"</f>
        <v>34</v>
      </c>
      <c r="F106" s="7" t="str">
        <f>"01"</f>
        <v>01</v>
      </c>
      <c r="G106" s="8">
        <v>77.2</v>
      </c>
      <c r="H106" s="8">
        <v>77.1</v>
      </c>
      <c r="I106" s="8">
        <v>77.13</v>
      </c>
      <c r="J106" s="17">
        <v>44435</v>
      </c>
    </row>
    <row r="107" ht="20" customHeight="1" spans="1:10">
      <c r="A107" s="6">
        <v>29</v>
      </c>
      <c r="B107" s="7" t="str">
        <f t="shared" si="27"/>
        <v>009</v>
      </c>
      <c r="C107" s="7" t="str">
        <f>"张婉君"</f>
        <v>张婉君</v>
      </c>
      <c r="D107" s="7" t="str">
        <f>"20210093408"</f>
        <v>20210093408</v>
      </c>
      <c r="E107" s="7" t="str">
        <f>"34"</f>
        <v>34</v>
      </c>
      <c r="F107" s="7" t="str">
        <f>"08"</f>
        <v>08</v>
      </c>
      <c r="G107" s="8">
        <v>76.4</v>
      </c>
      <c r="H107" s="8">
        <v>77.2</v>
      </c>
      <c r="I107" s="8">
        <v>76.96</v>
      </c>
      <c r="J107" s="17">
        <v>44435</v>
      </c>
    </row>
    <row r="108" ht="20" customHeight="1" spans="1:10">
      <c r="A108" s="6">
        <v>30</v>
      </c>
      <c r="B108" s="16" t="s">
        <v>23</v>
      </c>
      <c r="C108" s="12" t="str">
        <f>"汝桂娟"</f>
        <v>汝桂娟</v>
      </c>
      <c r="D108" s="12" t="str">
        <f>"20210093303"</f>
        <v>20210093303</v>
      </c>
      <c r="E108" s="12" t="str">
        <f t="shared" ref="E108" si="31">"33"</f>
        <v>33</v>
      </c>
      <c r="F108" s="12" t="str">
        <f>"03"</f>
        <v>03</v>
      </c>
      <c r="G108" s="13">
        <v>76.3</v>
      </c>
      <c r="H108" s="13">
        <v>76.4</v>
      </c>
      <c r="I108" s="13">
        <v>76.37</v>
      </c>
      <c r="J108" s="17">
        <v>44435</v>
      </c>
    </row>
    <row r="109" ht="20" customHeight="1" spans="1:10">
      <c r="A109" s="14" t="s">
        <v>24</v>
      </c>
      <c r="B109" s="15"/>
      <c r="C109" s="15"/>
      <c r="D109" s="15"/>
      <c r="E109" s="15"/>
      <c r="F109" s="15"/>
      <c r="G109" s="15"/>
      <c r="H109" s="15"/>
      <c r="I109" s="15"/>
      <c r="J109" s="18"/>
    </row>
    <row r="110" ht="20" customHeight="1" spans="1:10">
      <c r="A110" s="4" t="s">
        <v>2</v>
      </c>
      <c r="B110" s="5" t="s">
        <v>3</v>
      </c>
      <c r="C110" s="4" t="s">
        <v>4</v>
      </c>
      <c r="D110" s="4" t="s">
        <v>5</v>
      </c>
      <c r="E110" s="4" t="s">
        <v>6</v>
      </c>
      <c r="F110" s="4" t="s">
        <v>7</v>
      </c>
      <c r="G110" s="4" t="s">
        <v>8</v>
      </c>
      <c r="H110" s="4" t="s">
        <v>9</v>
      </c>
      <c r="I110" s="4" t="s">
        <v>10</v>
      </c>
      <c r="J110" s="4" t="s">
        <v>11</v>
      </c>
    </row>
    <row r="111" ht="20" customHeight="1" spans="1:10">
      <c r="A111" s="6">
        <v>1</v>
      </c>
      <c r="B111" s="7" t="str">
        <f t="shared" ref="B111:B133" si="32">"005"</f>
        <v>005</v>
      </c>
      <c r="C111" s="7" t="str">
        <f>"朱婷婷"</f>
        <v>朱婷婷</v>
      </c>
      <c r="D111" s="7" t="str">
        <f>"20210051701"</f>
        <v>20210051701</v>
      </c>
      <c r="E111" s="7" t="str">
        <f>"17"</f>
        <v>17</v>
      </c>
      <c r="F111" s="7" t="str">
        <f>"01"</f>
        <v>01</v>
      </c>
      <c r="G111" s="8">
        <v>88.2</v>
      </c>
      <c r="H111" s="8">
        <v>84.1</v>
      </c>
      <c r="I111" s="8">
        <v>85.33</v>
      </c>
      <c r="J111" s="17">
        <v>44435</v>
      </c>
    </row>
    <row r="112" ht="20" customHeight="1" spans="1:10">
      <c r="A112" s="6">
        <v>2</v>
      </c>
      <c r="B112" s="7" t="str">
        <f t="shared" si="32"/>
        <v>005</v>
      </c>
      <c r="C112" s="7" t="str">
        <f>"张欣雨"</f>
        <v>张欣雨</v>
      </c>
      <c r="D112" s="7" t="str">
        <f>"20210052018"</f>
        <v>20210052018</v>
      </c>
      <c r="E112" s="7" t="str">
        <f>"20"</f>
        <v>20</v>
      </c>
      <c r="F112" s="7" t="str">
        <f>"18"</f>
        <v>18</v>
      </c>
      <c r="G112" s="8">
        <v>86.4</v>
      </c>
      <c r="H112" s="8">
        <v>82.5</v>
      </c>
      <c r="I112" s="8">
        <v>83.67</v>
      </c>
      <c r="J112" s="17">
        <v>44435</v>
      </c>
    </row>
    <row r="113" ht="20" customHeight="1" spans="1:10">
      <c r="A113" s="6">
        <v>3</v>
      </c>
      <c r="B113" s="7" t="str">
        <f t="shared" si="32"/>
        <v>005</v>
      </c>
      <c r="C113" s="7" t="str">
        <f>"朱雨晨"</f>
        <v>朱雨晨</v>
      </c>
      <c r="D113" s="7" t="str">
        <f>"20210051830"</f>
        <v>20210051830</v>
      </c>
      <c r="E113" s="7" t="str">
        <f>"18"</f>
        <v>18</v>
      </c>
      <c r="F113" s="7" t="str">
        <f>"30"</f>
        <v>30</v>
      </c>
      <c r="G113" s="8">
        <v>79.2</v>
      </c>
      <c r="H113" s="8">
        <v>83.7</v>
      </c>
      <c r="I113" s="8">
        <v>82.35</v>
      </c>
      <c r="J113" s="17">
        <v>44435</v>
      </c>
    </row>
    <row r="114" ht="20" customHeight="1" spans="1:10">
      <c r="A114" s="6">
        <v>4</v>
      </c>
      <c r="B114" s="7" t="str">
        <f t="shared" si="32"/>
        <v>005</v>
      </c>
      <c r="C114" s="7" t="str">
        <f>"何倩倩"</f>
        <v>何倩倩</v>
      </c>
      <c r="D114" s="7" t="str">
        <f>"20210051917"</f>
        <v>20210051917</v>
      </c>
      <c r="E114" s="7" t="str">
        <f t="shared" ref="E114:E116" si="33">"19"</f>
        <v>19</v>
      </c>
      <c r="F114" s="7" t="str">
        <f>"17"</f>
        <v>17</v>
      </c>
      <c r="G114" s="8">
        <v>83.2</v>
      </c>
      <c r="H114" s="8">
        <v>81.3</v>
      </c>
      <c r="I114" s="8">
        <v>81.87</v>
      </c>
      <c r="J114" s="17">
        <v>44435</v>
      </c>
    </row>
    <row r="115" ht="20" customHeight="1" spans="1:10">
      <c r="A115" s="6">
        <v>5</v>
      </c>
      <c r="B115" s="7" t="str">
        <f t="shared" si="32"/>
        <v>005</v>
      </c>
      <c r="C115" s="7" t="str">
        <f>"孟梅"</f>
        <v>孟梅</v>
      </c>
      <c r="D115" s="7" t="str">
        <f>"20210051723"</f>
        <v>20210051723</v>
      </c>
      <c r="E115" s="7" t="str">
        <f>"17"</f>
        <v>17</v>
      </c>
      <c r="F115" s="7" t="str">
        <f t="shared" ref="F115:F119" si="34">"23"</f>
        <v>23</v>
      </c>
      <c r="G115" s="8">
        <v>87.5</v>
      </c>
      <c r="H115" s="8">
        <v>79.1</v>
      </c>
      <c r="I115" s="8">
        <v>81.62</v>
      </c>
      <c r="J115" s="17">
        <v>44435</v>
      </c>
    </row>
    <row r="116" ht="20" customHeight="1" spans="1:10">
      <c r="A116" s="6">
        <v>6</v>
      </c>
      <c r="B116" s="7" t="str">
        <f t="shared" si="32"/>
        <v>005</v>
      </c>
      <c r="C116" s="7" t="str">
        <f>"杨露露"</f>
        <v>杨露露</v>
      </c>
      <c r="D116" s="7" t="str">
        <f>"20210051906"</f>
        <v>20210051906</v>
      </c>
      <c r="E116" s="7" t="str">
        <f t="shared" si="33"/>
        <v>19</v>
      </c>
      <c r="F116" s="7" t="str">
        <f>"06"</f>
        <v>06</v>
      </c>
      <c r="G116" s="8">
        <v>76.3</v>
      </c>
      <c r="H116" s="8">
        <v>83.3</v>
      </c>
      <c r="I116" s="8">
        <v>81.2</v>
      </c>
      <c r="J116" s="17">
        <v>44435</v>
      </c>
    </row>
    <row r="117" ht="20" customHeight="1" spans="1:10">
      <c r="A117" s="6">
        <v>7</v>
      </c>
      <c r="B117" s="7" t="str">
        <f t="shared" si="32"/>
        <v>005</v>
      </c>
      <c r="C117" s="7" t="str">
        <f>"刘小亭"</f>
        <v>刘小亭</v>
      </c>
      <c r="D117" s="7" t="str">
        <f>"20210052019"</f>
        <v>20210052019</v>
      </c>
      <c r="E117" s="7" t="str">
        <f>"20"</f>
        <v>20</v>
      </c>
      <c r="F117" s="7" t="str">
        <f>"19"</f>
        <v>19</v>
      </c>
      <c r="G117" s="8">
        <v>80.3</v>
      </c>
      <c r="H117" s="8">
        <v>81.4</v>
      </c>
      <c r="I117" s="8">
        <v>81.07</v>
      </c>
      <c r="J117" s="17">
        <v>44435</v>
      </c>
    </row>
    <row r="118" ht="20" customHeight="1" spans="1:10">
      <c r="A118" s="6">
        <v>8</v>
      </c>
      <c r="B118" s="7" t="str">
        <f t="shared" si="32"/>
        <v>005</v>
      </c>
      <c r="C118" s="7" t="str">
        <f>"郑婍婍"</f>
        <v>郑婍婍</v>
      </c>
      <c r="D118" s="7" t="str">
        <f>"20210052023"</f>
        <v>20210052023</v>
      </c>
      <c r="E118" s="7" t="str">
        <f>"20"</f>
        <v>20</v>
      </c>
      <c r="F118" s="7" t="str">
        <f t="shared" si="34"/>
        <v>23</v>
      </c>
      <c r="G118" s="8">
        <v>79.7</v>
      </c>
      <c r="H118" s="8">
        <v>80.7</v>
      </c>
      <c r="I118" s="8">
        <v>80.4</v>
      </c>
      <c r="J118" s="17">
        <v>44435</v>
      </c>
    </row>
    <row r="119" ht="20" customHeight="1" spans="1:10">
      <c r="A119" s="6">
        <v>9</v>
      </c>
      <c r="B119" s="7" t="str">
        <f t="shared" si="32"/>
        <v>005</v>
      </c>
      <c r="C119" s="7" t="str">
        <f>"罗紫晴"</f>
        <v>罗紫晴</v>
      </c>
      <c r="D119" s="7" t="str">
        <f>"20210051923"</f>
        <v>20210051923</v>
      </c>
      <c r="E119" s="7" t="str">
        <f>"19"</f>
        <v>19</v>
      </c>
      <c r="F119" s="7" t="str">
        <f t="shared" si="34"/>
        <v>23</v>
      </c>
      <c r="G119" s="8">
        <v>87.3</v>
      </c>
      <c r="H119" s="8">
        <v>76.9</v>
      </c>
      <c r="I119" s="8">
        <v>80.02</v>
      </c>
      <c r="J119" s="17">
        <v>44435</v>
      </c>
    </row>
    <row r="120" ht="20" customHeight="1" spans="1:10">
      <c r="A120" s="6">
        <v>10</v>
      </c>
      <c r="B120" s="7" t="str">
        <f t="shared" si="32"/>
        <v>005</v>
      </c>
      <c r="C120" s="7" t="str">
        <f>"任雅静"</f>
        <v>任雅静</v>
      </c>
      <c r="D120" s="7" t="str">
        <f>"20210051811"</f>
        <v>20210051811</v>
      </c>
      <c r="E120" s="7" t="str">
        <f t="shared" ref="E120" si="35">"18"</f>
        <v>18</v>
      </c>
      <c r="F120" s="7" t="str">
        <f>"11"</f>
        <v>11</v>
      </c>
      <c r="G120" s="8">
        <v>80.5</v>
      </c>
      <c r="H120" s="8">
        <v>78.7</v>
      </c>
      <c r="I120" s="8">
        <v>79.24</v>
      </c>
      <c r="J120" s="17">
        <v>44435</v>
      </c>
    </row>
    <row r="121" ht="20" customHeight="1" spans="1:10">
      <c r="A121" s="6">
        <v>11</v>
      </c>
      <c r="B121" s="7" t="str">
        <f t="shared" si="32"/>
        <v>005</v>
      </c>
      <c r="C121" s="7" t="str">
        <f>"王俊雯"</f>
        <v>王俊雯</v>
      </c>
      <c r="D121" s="7" t="str">
        <f>"20210052106"</f>
        <v>20210052106</v>
      </c>
      <c r="E121" s="7" t="str">
        <f>"21"</f>
        <v>21</v>
      </c>
      <c r="F121" s="7" t="str">
        <f>"06"</f>
        <v>06</v>
      </c>
      <c r="G121" s="8">
        <v>74.2</v>
      </c>
      <c r="H121" s="8">
        <v>80.6</v>
      </c>
      <c r="I121" s="8">
        <v>78.68</v>
      </c>
      <c r="J121" s="17">
        <v>44435</v>
      </c>
    </row>
    <row r="122" ht="20" customHeight="1" spans="1:10">
      <c r="A122" s="6">
        <v>12</v>
      </c>
      <c r="B122" s="7" t="str">
        <f t="shared" si="32"/>
        <v>005</v>
      </c>
      <c r="C122" s="7" t="str">
        <f>"刘晴晴"</f>
        <v>刘晴晴</v>
      </c>
      <c r="D122" s="7" t="str">
        <f>"20210051802"</f>
        <v>20210051802</v>
      </c>
      <c r="E122" s="7" t="str">
        <f>"18"</f>
        <v>18</v>
      </c>
      <c r="F122" s="7" t="str">
        <f>"02"</f>
        <v>02</v>
      </c>
      <c r="G122" s="8">
        <v>71.1</v>
      </c>
      <c r="H122" s="8">
        <v>81.3</v>
      </c>
      <c r="I122" s="8">
        <v>78.24</v>
      </c>
      <c r="J122" s="17">
        <v>44435</v>
      </c>
    </row>
    <row r="123" ht="20" customHeight="1" spans="1:10">
      <c r="A123" s="6">
        <v>13</v>
      </c>
      <c r="B123" s="7" t="str">
        <f t="shared" si="32"/>
        <v>005</v>
      </c>
      <c r="C123" s="7" t="str">
        <f>"谢欣雨"</f>
        <v>谢欣雨</v>
      </c>
      <c r="D123" s="7" t="str">
        <f>"20210051916"</f>
        <v>20210051916</v>
      </c>
      <c r="E123" s="7" t="str">
        <f>"19"</f>
        <v>19</v>
      </c>
      <c r="F123" s="7" t="str">
        <f>"16"</f>
        <v>16</v>
      </c>
      <c r="G123" s="8">
        <v>82.4</v>
      </c>
      <c r="H123" s="8">
        <v>76.4</v>
      </c>
      <c r="I123" s="8">
        <v>78.2</v>
      </c>
      <c r="J123" s="17">
        <v>44435</v>
      </c>
    </row>
    <row r="124" ht="20" customHeight="1" spans="1:10">
      <c r="A124" s="6">
        <v>14</v>
      </c>
      <c r="B124" s="7" t="str">
        <f t="shared" si="32"/>
        <v>005</v>
      </c>
      <c r="C124" s="7" t="str">
        <f>"袁琳琳"</f>
        <v>袁琳琳</v>
      </c>
      <c r="D124" s="7" t="str">
        <f>"20210052104"</f>
        <v>20210052104</v>
      </c>
      <c r="E124" s="7" t="str">
        <f>"21"</f>
        <v>21</v>
      </c>
      <c r="F124" s="7" t="str">
        <f>"04"</f>
        <v>04</v>
      </c>
      <c r="G124" s="8">
        <v>77.7</v>
      </c>
      <c r="H124" s="8">
        <v>78</v>
      </c>
      <c r="I124" s="8">
        <v>77.91</v>
      </c>
      <c r="J124" s="17">
        <v>44435</v>
      </c>
    </row>
    <row r="125" ht="20" customHeight="1" spans="1:10">
      <c r="A125" s="6">
        <v>15</v>
      </c>
      <c r="B125" s="7" t="str">
        <f t="shared" si="32"/>
        <v>005</v>
      </c>
      <c r="C125" s="7" t="str">
        <f>"王漫漫"</f>
        <v>王漫漫</v>
      </c>
      <c r="D125" s="7" t="str">
        <f>"20210051909"</f>
        <v>20210051909</v>
      </c>
      <c r="E125" s="7" t="str">
        <f>"19"</f>
        <v>19</v>
      </c>
      <c r="F125" s="7" t="str">
        <f>"09"</f>
        <v>09</v>
      </c>
      <c r="G125" s="8">
        <v>80.7</v>
      </c>
      <c r="H125" s="8">
        <v>76.5</v>
      </c>
      <c r="I125" s="8">
        <v>77.76</v>
      </c>
      <c r="J125" s="17">
        <v>44435</v>
      </c>
    </row>
    <row r="126" ht="20" customHeight="1" spans="1:10">
      <c r="A126" s="6">
        <v>16</v>
      </c>
      <c r="B126" s="7" t="str">
        <f t="shared" si="32"/>
        <v>005</v>
      </c>
      <c r="C126" s="7" t="str">
        <f>"荣杨"</f>
        <v>荣杨</v>
      </c>
      <c r="D126" s="7" t="str">
        <f>"20210052002"</f>
        <v>20210052002</v>
      </c>
      <c r="E126" s="7" t="str">
        <f>"20"</f>
        <v>20</v>
      </c>
      <c r="F126" s="7" t="str">
        <f>"02"</f>
        <v>02</v>
      </c>
      <c r="G126" s="8">
        <v>76.2</v>
      </c>
      <c r="H126" s="8">
        <v>78</v>
      </c>
      <c r="I126" s="8">
        <v>77.46</v>
      </c>
      <c r="J126" s="17">
        <v>44435</v>
      </c>
    </row>
    <row r="127" ht="20" customHeight="1" spans="1:10">
      <c r="A127" s="6">
        <v>17</v>
      </c>
      <c r="B127" s="7" t="str">
        <f t="shared" si="32"/>
        <v>005</v>
      </c>
      <c r="C127" s="7" t="str">
        <f>"张以勤"</f>
        <v>张以勤</v>
      </c>
      <c r="D127" s="7" t="str">
        <f>"20210051809"</f>
        <v>20210051809</v>
      </c>
      <c r="E127" s="7" t="str">
        <f t="shared" ref="E127:E129" si="36">"18"</f>
        <v>18</v>
      </c>
      <c r="F127" s="7" t="str">
        <f>"09"</f>
        <v>09</v>
      </c>
      <c r="G127" s="8">
        <v>78.5</v>
      </c>
      <c r="H127" s="8">
        <v>76.6</v>
      </c>
      <c r="I127" s="8">
        <v>77.17</v>
      </c>
      <c r="J127" s="17">
        <v>44435</v>
      </c>
    </row>
    <row r="128" ht="20" customHeight="1" spans="1:10">
      <c r="A128" s="6">
        <v>18</v>
      </c>
      <c r="B128" s="7" t="str">
        <f t="shared" si="32"/>
        <v>005</v>
      </c>
      <c r="C128" s="7" t="str">
        <f>"盛夏"</f>
        <v>盛夏</v>
      </c>
      <c r="D128" s="7" t="str">
        <f>"20210051626"</f>
        <v>20210051626</v>
      </c>
      <c r="E128" s="7" t="str">
        <f>"16"</f>
        <v>16</v>
      </c>
      <c r="F128" s="7" t="str">
        <f>"26"</f>
        <v>26</v>
      </c>
      <c r="G128" s="8">
        <v>80.3</v>
      </c>
      <c r="H128" s="8">
        <v>75.8</v>
      </c>
      <c r="I128" s="8">
        <v>77.15</v>
      </c>
      <c r="J128" s="17">
        <v>44435</v>
      </c>
    </row>
    <row r="129" ht="20" customHeight="1" spans="1:10">
      <c r="A129" s="6">
        <v>19</v>
      </c>
      <c r="B129" s="7" t="str">
        <f t="shared" si="32"/>
        <v>005</v>
      </c>
      <c r="C129" s="7" t="str">
        <f>"锁雨婷"</f>
        <v>锁雨婷</v>
      </c>
      <c r="D129" s="7" t="str">
        <f>"20210051804"</f>
        <v>20210051804</v>
      </c>
      <c r="E129" s="7" t="str">
        <f t="shared" si="36"/>
        <v>18</v>
      </c>
      <c r="F129" s="7" t="str">
        <f>"04"</f>
        <v>04</v>
      </c>
      <c r="G129" s="8">
        <v>82.7</v>
      </c>
      <c r="H129" s="8">
        <v>74.6</v>
      </c>
      <c r="I129" s="8">
        <v>77.03</v>
      </c>
      <c r="J129" s="17">
        <v>44435</v>
      </c>
    </row>
    <row r="130" ht="20" customHeight="1" spans="1:10">
      <c r="A130" s="6">
        <v>20</v>
      </c>
      <c r="B130" s="7" t="str">
        <f t="shared" si="32"/>
        <v>005</v>
      </c>
      <c r="C130" s="7" t="str">
        <f>"黄云雪"</f>
        <v>黄云雪</v>
      </c>
      <c r="D130" s="7" t="str">
        <f>"20210051726"</f>
        <v>20210051726</v>
      </c>
      <c r="E130" s="7" t="str">
        <f>"17"</f>
        <v>17</v>
      </c>
      <c r="F130" s="7" t="str">
        <f>"26"</f>
        <v>26</v>
      </c>
      <c r="G130" s="8">
        <v>77.9</v>
      </c>
      <c r="H130" s="8">
        <v>76.5</v>
      </c>
      <c r="I130" s="8">
        <v>76.92</v>
      </c>
      <c r="J130" s="17">
        <v>44435</v>
      </c>
    </row>
    <row r="131" ht="20" customHeight="1" spans="1:10">
      <c r="A131" s="6">
        <v>21</v>
      </c>
      <c r="B131" s="7" t="str">
        <f t="shared" si="32"/>
        <v>005</v>
      </c>
      <c r="C131" s="7" t="str">
        <f>"吴会新"</f>
        <v>吴会新</v>
      </c>
      <c r="D131" s="7" t="str">
        <f>"20210052115"</f>
        <v>20210052115</v>
      </c>
      <c r="E131" s="7" t="str">
        <f>"21"</f>
        <v>21</v>
      </c>
      <c r="F131" s="7" t="str">
        <f>"15"</f>
        <v>15</v>
      </c>
      <c r="G131" s="8">
        <v>82.6</v>
      </c>
      <c r="H131" s="8">
        <v>74.4</v>
      </c>
      <c r="I131" s="8">
        <v>76.86</v>
      </c>
      <c r="J131" s="17">
        <v>44435</v>
      </c>
    </row>
    <row r="132" ht="20" customHeight="1" spans="1:10">
      <c r="A132" s="6">
        <v>22</v>
      </c>
      <c r="B132" s="7" t="str">
        <f t="shared" si="32"/>
        <v>005</v>
      </c>
      <c r="C132" s="7" t="str">
        <f>"陈琪"</f>
        <v>陈琪</v>
      </c>
      <c r="D132" s="7" t="str">
        <f>"20210052003"</f>
        <v>20210052003</v>
      </c>
      <c r="E132" s="7" t="str">
        <f>"20"</f>
        <v>20</v>
      </c>
      <c r="F132" s="7" t="str">
        <f>"03"</f>
        <v>03</v>
      </c>
      <c r="G132" s="8">
        <v>71</v>
      </c>
      <c r="H132" s="8">
        <v>79</v>
      </c>
      <c r="I132" s="8">
        <v>76.6</v>
      </c>
      <c r="J132" s="17">
        <v>44435</v>
      </c>
    </row>
    <row r="133" ht="20" customHeight="1" spans="1:10">
      <c r="A133" s="6">
        <v>23</v>
      </c>
      <c r="B133" s="7" t="str">
        <f t="shared" si="32"/>
        <v>005</v>
      </c>
      <c r="C133" s="7" t="str">
        <f>"徐慧紫"</f>
        <v>徐慧紫</v>
      </c>
      <c r="D133" s="7" t="str">
        <f>"20210052111"</f>
        <v>20210052111</v>
      </c>
      <c r="E133" s="7" t="str">
        <f>"21"</f>
        <v>21</v>
      </c>
      <c r="F133" s="7" t="str">
        <f>"11"</f>
        <v>11</v>
      </c>
      <c r="G133" s="8">
        <v>80.8</v>
      </c>
      <c r="H133" s="8">
        <v>74.3</v>
      </c>
      <c r="I133" s="8">
        <v>76.25</v>
      </c>
      <c r="J133" s="17">
        <v>44435</v>
      </c>
    </row>
    <row r="134" ht="20" customHeight="1" spans="1:10">
      <c r="A134" s="6">
        <v>24</v>
      </c>
      <c r="B134" s="9" t="s">
        <v>25</v>
      </c>
      <c r="C134" s="10" t="str">
        <f>"胡姗姗"</f>
        <v>胡姗姗</v>
      </c>
      <c r="D134" s="10" t="str">
        <f>"20210052014"</f>
        <v>20210052014</v>
      </c>
      <c r="E134" s="10" t="str">
        <f>"20"</f>
        <v>20</v>
      </c>
      <c r="F134" s="10" t="str">
        <f>"14"</f>
        <v>14</v>
      </c>
      <c r="G134" s="11">
        <v>76.3</v>
      </c>
      <c r="H134" s="11">
        <v>75.9</v>
      </c>
      <c r="I134" s="11">
        <v>76.02</v>
      </c>
      <c r="J134" s="17">
        <v>44435</v>
      </c>
    </row>
    <row r="135" ht="20" customHeight="1" spans="1:10">
      <c r="A135" s="6">
        <v>25</v>
      </c>
      <c r="B135" s="9" t="s">
        <v>26</v>
      </c>
      <c r="C135" s="10" t="str">
        <f>"胡暇彬"</f>
        <v>胡暇彬</v>
      </c>
      <c r="D135" s="10" t="str">
        <f>"20210051817"</f>
        <v>20210051817</v>
      </c>
      <c r="E135" s="10" t="str">
        <f>"18"</f>
        <v>18</v>
      </c>
      <c r="F135" s="10" t="str">
        <f>"17"</f>
        <v>17</v>
      </c>
      <c r="G135" s="11">
        <v>74.1</v>
      </c>
      <c r="H135" s="11">
        <v>76.3</v>
      </c>
      <c r="I135" s="11">
        <v>75.64</v>
      </c>
      <c r="J135" s="17">
        <v>44435</v>
      </c>
    </row>
    <row r="136" ht="20" customHeight="1" spans="1:10">
      <c r="A136" s="6">
        <v>26</v>
      </c>
      <c r="B136" s="9" t="s">
        <v>26</v>
      </c>
      <c r="C136" s="10" t="str">
        <f>"庄梦凡"</f>
        <v>庄梦凡</v>
      </c>
      <c r="D136" s="10" t="str">
        <f>"20210051922"</f>
        <v>20210051922</v>
      </c>
      <c r="E136" s="10" t="str">
        <f t="shared" ref="E136:E137" si="37">"19"</f>
        <v>19</v>
      </c>
      <c r="F136" s="10" t="str">
        <f>"22"</f>
        <v>22</v>
      </c>
      <c r="G136" s="11">
        <v>80.7</v>
      </c>
      <c r="H136" s="11">
        <v>73.1</v>
      </c>
      <c r="I136" s="11">
        <v>75.38</v>
      </c>
      <c r="J136" s="17">
        <v>44435</v>
      </c>
    </row>
    <row r="137" ht="20" customHeight="1" spans="1:10">
      <c r="A137" s="6">
        <v>27</v>
      </c>
      <c r="B137" s="16" t="s">
        <v>25</v>
      </c>
      <c r="C137" s="12" t="str">
        <f>"方雪"</f>
        <v>方雪</v>
      </c>
      <c r="D137" s="12" t="str">
        <f>"20210051902"</f>
        <v>20210051902</v>
      </c>
      <c r="E137" s="12" t="str">
        <f t="shared" si="37"/>
        <v>19</v>
      </c>
      <c r="F137" s="12" t="str">
        <f>"02"</f>
        <v>02</v>
      </c>
      <c r="G137" s="13">
        <v>80.4</v>
      </c>
      <c r="H137" s="13">
        <v>72.5</v>
      </c>
      <c r="I137" s="13">
        <v>74.87</v>
      </c>
      <c r="J137" s="17">
        <v>44435</v>
      </c>
    </row>
    <row r="138" ht="20" customHeight="1" spans="1:10">
      <c r="A138" s="6">
        <v>28</v>
      </c>
      <c r="B138" s="16" t="s">
        <v>25</v>
      </c>
      <c r="C138" s="12" t="str">
        <f>"张方方"</f>
        <v>张方方</v>
      </c>
      <c r="D138" s="12" t="str">
        <f>"20210051630"</f>
        <v>20210051630</v>
      </c>
      <c r="E138" s="12" t="str">
        <f>"16"</f>
        <v>16</v>
      </c>
      <c r="F138" s="12" t="str">
        <f>"30"</f>
        <v>30</v>
      </c>
      <c r="G138" s="13">
        <v>73.7</v>
      </c>
      <c r="H138" s="13">
        <v>74.6</v>
      </c>
      <c r="I138" s="13">
        <v>74.33</v>
      </c>
      <c r="J138" s="17">
        <v>44435</v>
      </c>
    </row>
    <row r="139" ht="20" customHeight="1" spans="1:10">
      <c r="A139" s="14" t="s">
        <v>27</v>
      </c>
      <c r="B139" s="15"/>
      <c r="C139" s="15"/>
      <c r="D139" s="15"/>
      <c r="E139" s="15"/>
      <c r="F139" s="15"/>
      <c r="G139" s="15"/>
      <c r="H139" s="15"/>
      <c r="I139" s="15"/>
      <c r="J139" s="18"/>
    </row>
    <row r="140" ht="20" customHeight="1" spans="1:10">
      <c r="A140" s="4" t="s">
        <v>2</v>
      </c>
      <c r="B140" s="5" t="s">
        <v>3</v>
      </c>
      <c r="C140" s="4" t="s">
        <v>4</v>
      </c>
      <c r="D140" s="4" t="s">
        <v>5</v>
      </c>
      <c r="E140" s="4" t="s">
        <v>6</v>
      </c>
      <c r="F140" s="4" t="s">
        <v>7</v>
      </c>
      <c r="G140" s="4" t="s">
        <v>8</v>
      </c>
      <c r="H140" s="4" t="s">
        <v>9</v>
      </c>
      <c r="I140" s="4" t="s">
        <v>10</v>
      </c>
      <c r="J140" s="4" t="s">
        <v>11</v>
      </c>
    </row>
    <row r="141" ht="20" customHeight="1" spans="1:10">
      <c r="A141" s="6">
        <v>1</v>
      </c>
      <c r="B141" s="7" t="str">
        <f t="shared" ref="B141:B150" si="38">"008"</f>
        <v>008</v>
      </c>
      <c r="C141" s="7" t="str">
        <f>"王腾腾"</f>
        <v>王腾腾</v>
      </c>
      <c r="D141" s="7" t="str">
        <f>"20210083224"</f>
        <v>20210083224</v>
      </c>
      <c r="E141" s="7" t="str">
        <f t="shared" ref="E141:E146" si="39">"32"</f>
        <v>32</v>
      </c>
      <c r="F141" s="7" t="str">
        <f>"24"</f>
        <v>24</v>
      </c>
      <c r="G141" s="8">
        <v>80.6</v>
      </c>
      <c r="H141" s="8">
        <v>85.6</v>
      </c>
      <c r="I141" s="8">
        <v>84.1</v>
      </c>
      <c r="J141" s="17">
        <v>44435</v>
      </c>
    </row>
    <row r="142" ht="20" customHeight="1" spans="1:10">
      <c r="A142" s="6">
        <v>2</v>
      </c>
      <c r="B142" s="7" t="str">
        <f t="shared" si="38"/>
        <v>008</v>
      </c>
      <c r="C142" s="7" t="str">
        <f>"杨静茹"</f>
        <v>杨静茹</v>
      </c>
      <c r="D142" s="7" t="str">
        <f>"20210083129"</f>
        <v>20210083129</v>
      </c>
      <c r="E142" s="7" t="str">
        <f t="shared" ref="E142:E147" si="40">"31"</f>
        <v>31</v>
      </c>
      <c r="F142" s="7" t="str">
        <f>"29"</f>
        <v>29</v>
      </c>
      <c r="G142" s="8">
        <v>75.3</v>
      </c>
      <c r="H142" s="8">
        <v>81.1</v>
      </c>
      <c r="I142" s="8">
        <v>79.36</v>
      </c>
      <c r="J142" s="17">
        <v>44435</v>
      </c>
    </row>
    <row r="143" ht="20" customHeight="1" spans="1:10">
      <c r="A143" s="6">
        <v>3</v>
      </c>
      <c r="B143" s="7" t="str">
        <f t="shared" si="38"/>
        <v>008</v>
      </c>
      <c r="C143" s="7" t="str">
        <f>"王珍"</f>
        <v>王珍</v>
      </c>
      <c r="D143" s="7" t="str">
        <f>"20210083207"</f>
        <v>20210083207</v>
      </c>
      <c r="E143" s="7" t="str">
        <f t="shared" si="39"/>
        <v>32</v>
      </c>
      <c r="F143" s="7" t="str">
        <f>"07"</f>
        <v>07</v>
      </c>
      <c r="G143" s="8">
        <v>87.2</v>
      </c>
      <c r="H143" s="8">
        <v>76</v>
      </c>
      <c r="I143" s="8">
        <v>79.36</v>
      </c>
      <c r="J143" s="17">
        <v>44435</v>
      </c>
    </row>
    <row r="144" ht="20" customHeight="1" spans="1:10">
      <c r="A144" s="6">
        <v>4</v>
      </c>
      <c r="B144" s="7" t="str">
        <f t="shared" si="38"/>
        <v>008</v>
      </c>
      <c r="C144" s="7" t="str">
        <f>"周景群"</f>
        <v>周景群</v>
      </c>
      <c r="D144" s="7" t="str">
        <f>"20210083116"</f>
        <v>20210083116</v>
      </c>
      <c r="E144" s="7" t="str">
        <f t="shared" si="40"/>
        <v>31</v>
      </c>
      <c r="F144" s="7" t="str">
        <f>"16"</f>
        <v>16</v>
      </c>
      <c r="G144" s="8">
        <v>85.4</v>
      </c>
      <c r="H144" s="8">
        <v>76.4</v>
      </c>
      <c r="I144" s="8">
        <v>79.1</v>
      </c>
      <c r="J144" s="17">
        <v>44435</v>
      </c>
    </row>
    <row r="145" ht="20" customHeight="1" spans="1:10">
      <c r="A145" s="6">
        <v>5</v>
      </c>
      <c r="B145" s="7" t="str">
        <f t="shared" si="38"/>
        <v>008</v>
      </c>
      <c r="C145" s="7" t="str">
        <f>"张雨晴"</f>
        <v>张雨晴</v>
      </c>
      <c r="D145" s="7" t="str">
        <f>"20210083029"</f>
        <v>20210083029</v>
      </c>
      <c r="E145" s="7" t="str">
        <f>"30"</f>
        <v>30</v>
      </c>
      <c r="F145" s="7" t="str">
        <f>"29"</f>
        <v>29</v>
      </c>
      <c r="G145" s="8">
        <v>77.1</v>
      </c>
      <c r="H145" s="8">
        <v>79.4</v>
      </c>
      <c r="I145" s="8">
        <v>78.71</v>
      </c>
      <c r="J145" s="17">
        <v>44435</v>
      </c>
    </row>
    <row r="146" ht="20" customHeight="1" spans="1:10">
      <c r="A146" s="6">
        <v>6</v>
      </c>
      <c r="B146" s="7" t="str">
        <f t="shared" si="38"/>
        <v>008</v>
      </c>
      <c r="C146" s="7" t="str">
        <f>"张雅"</f>
        <v>张雅</v>
      </c>
      <c r="D146" s="7" t="str">
        <f>"20210083210"</f>
        <v>20210083210</v>
      </c>
      <c r="E146" s="7" t="str">
        <f t="shared" si="39"/>
        <v>32</v>
      </c>
      <c r="F146" s="7" t="str">
        <f>"10"</f>
        <v>10</v>
      </c>
      <c r="G146" s="8">
        <v>78.2</v>
      </c>
      <c r="H146" s="8">
        <v>76.8</v>
      </c>
      <c r="I146" s="8">
        <v>77.22</v>
      </c>
      <c r="J146" s="17">
        <v>44435</v>
      </c>
    </row>
    <row r="147" ht="20" customHeight="1" spans="1:10">
      <c r="A147" s="6">
        <v>7</v>
      </c>
      <c r="B147" s="7" t="str">
        <f t="shared" si="38"/>
        <v>008</v>
      </c>
      <c r="C147" s="7" t="str">
        <f>"王凤梅"</f>
        <v>王凤梅</v>
      </c>
      <c r="D147" s="7" t="str">
        <f>"20210083127"</f>
        <v>20210083127</v>
      </c>
      <c r="E147" s="7" t="str">
        <f t="shared" si="40"/>
        <v>31</v>
      </c>
      <c r="F147" s="7" t="str">
        <f>"27"</f>
        <v>27</v>
      </c>
      <c r="G147" s="8">
        <v>85.1</v>
      </c>
      <c r="H147" s="8">
        <v>72.2</v>
      </c>
      <c r="I147" s="8">
        <v>76.07</v>
      </c>
      <c r="J147" s="17">
        <v>44435</v>
      </c>
    </row>
    <row r="148" ht="20" customHeight="1" spans="1:10">
      <c r="A148" s="6">
        <v>8</v>
      </c>
      <c r="B148" s="7" t="str">
        <f t="shared" si="38"/>
        <v>008</v>
      </c>
      <c r="C148" s="7" t="str">
        <f>"完亚茹"</f>
        <v>完亚茹</v>
      </c>
      <c r="D148" s="7" t="str">
        <f>"20210083103"</f>
        <v>20210083103</v>
      </c>
      <c r="E148" s="7" t="str">
        <f t="shared" ref="E148:E149" si="41">"31"</f>
        <v>31</v>
      </c>
      <c r="F148" s="7" t="str">
        <f>"03"</f>
        <v>03</v>
      </c>
      <c r="G148" s="8">
        <v>81.9</v>
      </c>
      <c r="H148" s="8">
        <v>72.2</v>
      </c>
      <c r="I148" s="8">
        <v>75.11</v>
      </c>
      <c r="J148" s="17">
        <v>44435</v>
      </c>
    </row>
    <row r="149" ht="20" customHeight="1" spans="1:10">
      <c r="A149" s="6">
        <v>9</v>
      </c>
      <c r="B149" s="7" t="str">
        <f t="shared" si="38"/>
        <v>008</v>
      </c>
      <c r="C149" s="7" t="str">
        <f>"李慧"</f>
        <v>李慧</v>
      </c>
      <c r="D149" s="7" t="str">
        <f>"20210083118"</f>
        <v>20210083118</v>
      </c>
      <c r="E149" s="7" t="str">
        <f t="shared" si="41"/>
        <v>31</v>
      </c>
      <c r="F149" s="7" t="str">
        <f>"18"</f>
        <v>18</v>
      </c>
      <c r="G149" s="8">
        <v>86.5</v>
      </c>
      <c r="H149" s="8">
        <v>70.2</v>
      </c>
      <c r="I149" s="8">
        <v>75.09</v>
      </c>
      <c r="J149" s="17">
        <v>44435</v>
      </c>
    </row>
    <row r="150" ht="20" customHeight="1" spans="1:10">
      <c r="A150" s="6">
        <v>10</v>
      </c>
      <c r="B150" s="7" t="str">
        <f t="shared" si="38"/>
        <v>008</v>
      </c>
      <c r="C150" s="7" t="str">
        <f>"高圆圆"</f>
        <v>高圆圆</v>
      </c>
      <c r="D150" s="7" t="str">
        <f>"20210083222"</f>
        <v>20210083222</v>
      </c>
      <c r="E150" s="7" t="str">
        <f t="shared" ref="E150" si="42">"32"</f>
        <v>32</v>
      </c>
      <c r="F150" s="7" t="str">
        <f>"22"</f>
        <v>22</v>
      </c>
      <c r="G150" s="8">
        <v>72.2</v>
      </c>
      <c r="H150" s="8">
        <v>73.5</v>
      </c>
      <c r="I150" s="8">
        <v>73.11</v>
      </c>
      <c r="J150" s="17">
        <v>44435</v>
      </c>
    </row>
    <row r="151" ht="20" customHeight="1" spans="1:10">
      <c r="A151" s="6">
        <v>11</v>
      </c>
      <c r="B151" s="9" t="s">
        <v>28</v>
      </c>
      <c r="C151" s="10" t="str">
        <f>"周如雪"</f>
        <v>周如雪</v>
      </c>
      <c r="D151" s="10" t="str">
        <f>"20210083023"</f>
        <v>20210083023</v>
      </c>
      <c r="E151" s="10" t="str">
        <f>"30"</f>
        <v>30</v>
      </c>
      <c r="F151" s="10" t="str">
        <f>"23"</f>
        <v>23</v>
      </c>
      <c r="G151" s="11">
        <v>69</v>
      </c>
      <c r="H151" s="11">
        <v>74.6</v>
      </c>
      <c r="I151" s="11">
        <v>72.92</v>
      </c>
      <c r="J151" s="17">
        <v>44435</v>
      </c>
    </row>
    <row r="152" ht="20" customHeight="1" spans="1:10">
      <c r="A152" s="6">
        <v>12</v>
      </c>
      <c r="B152" s="7" t="str">
        <f t="shared" ref="B152:B165" si="43">"017"</f>
        <v>017</v>
      </c>
      <c r="C152" s="7" t="str">
        <f>"郝小玉"</f>
        <v>郝小玉</v>
      </c>
      <c r="D152" s="7" t="str">
        <f>"20210175830"</f>
        <v>20210175830</v>
      </c>
      <c r="E152" s="7" t="str">
        <f>"58"</f>
        <v>58</v>
      </c>
      <c r="F152" s="7" t="str">
        <f>"30"</f>
        <v>30</v>
      </c>
      <c r="G152" s="8">
        <v>90.3</v>
      </c>
      <c r="H152" s="8">
        <v>82.8</v>
      </c>
      <c r="I152" s="8">
        <v>85.05</v>
      </c>
      <c r="J152" s="17">
        <v>44435</v>
      </c>
    </row>
    <row r="153" ht="20" customHeight="1" spans="1:10">
      <c r="A153" s="6">
        <v>13</v>
      </c>
      <c r="B153" s="7" t="str">
        <f t="shared" si="43"/>
        <v>017</v>
      </c>
      <c r="C153" s="7" t="str">
        <f>"张咏春"</f>
        <v>张咏春</v>
      </c>
      <c r="D153" s="7" t="str">
        <f>"20210175908"</f>
        <v>20210175908</v>
      </c>
      <c r="E153" s="7" t="str">
        <f t="shared" ref="E153:E158" si="44">"59"</f>
        <v>59</v>
      </c>
      <c r="F153" s="7" t="str">
        <f>"08"</f>
        <v>08</v>
      </c>
      <c r="G153" s="8">
        <v>82.8</v>
      </c>
      <c r="H153" s="8">
        <v>81.7</v>
      </c>
      <c r="I153" s="8">
        <v>82.03</v>
      </c>
      <c r="J153" s="17">
        <v>44435</v>
      </c>
    </row>
    <row r="154" ht="20" customHeight="1" spans="1:10">
      <c r="A154" s="6">
        <v>14</v>
      </c>
      <c r="B154" s="7" t="str">
        <f t="shared" si="43"/>
        <v>017</v>
      </c>
      <c r="C154" s="7" t="str">
        <f>"牛小如"</f>
        <v>牛小如</v>
      </c>
      <c r="D154" s="7" t="str">
        <f>"20210175715"</f>
        <v>20210175715</v>
      </c>
      <c r="E154" s="7" t="str">
        <f t="shared" ref="E154:E157" si="45">"57"</f>
        <v>57</v>
      </c>
      <c r="F154" s="7" t="str">
        <f>"15"</f>
        <v>15</v>
      </c>
      <c r="G154" s="8">
        <v>81.7</v>
      </c>
      <c r="H154" s="8">
        <v>81.3</v>
      </c>
      <c r="I154" s="8">
        <v>81.42</v>
      </c>
      <c r="J154" s="17">
        <v>44435</v>
      </c>
    </row>
    <row r="155" ht="20" customHeight="1" spans="1:10">
      <c r="A155" s="6">
        <v>15</v>
      </c>
      <c r="B155" s="7" t="str">
        <f t="shared" si="43"/>
        <v>017</v>
      </c>
      <c r="C155" s="7" t="str">
        <f>"王璐瑶"</f>
        <v>王璐瑶</v>
      </c>
      <c r="D155" s="7" t="str">
        <f>"20210175904"</f>
        <v>20210175904</v>
      </c>
      <c r="E155" s="7" t="str">
        <f t="shared" si="44"/>
        <v>59</v>
      </c>
      <c r="F155" s="7" t="str">
        <f>"04"</f>
        <v>04</v>
      </c>
      <c r="G155" s="8">
        <v>83.7</v>
      </c>
      <c r="H155" s="8">
        <v>77.3</v>
      </c>
      <c r="I155" s="8">
        <v>79.22</v>
      </c>
      <c r="J155" s="17">
        <v>44435</v>
      </c>
    </row>
    <row r="156" ht="20" customHeight="1" spans="1:10">
      <c r="A156" s="6">
        <v>16</v>
      </c>
      <c r="B156" s="7" t="str">
        <f t="shared" si="43"/>
        <v>017</v>
      </c>
      <c r="C156" s="7" t="str">
        <f>"王玉露"</f>
        <v>王玉露</v>
      </c>
      <c r="D156" s="7" t="str">
        <f>"20210175718"</f>
        <v>20210175718</v>
      </c>
      <c r="E156" s="7" t="str">
        <f t="shared" si="45"/>
        <v>57</v>
      </c>
      <c r="F156" s="7" t="str">
        <f>"18"</f>
        <v>18</v>
      </c>
      <c r="G156" s="8">
        <v>84.6</v>
      </c>
      <c r="H156" s="8">
        <v>75.9</v>
      </c>
      <c r="I156" s="8">
        <v>78.51</v>
      </c>
      <c r="J156" s="17">
        <v>44435</v>
      </c>
    </row>
    <row r="157" ht="20" customHeight="1" spans="1:10">
      <c r="A157" s="6">
        <v>17</v>
      </c>
      <c r="B157" s="7" t="str">
        <f t="shared" si="43"/>
        <v>017</v>
      </c>
      <c r="C157" s="7" t="str">
        <f>"张荣荣"</f>
        <v>张荣荣</v>
      </c>
      <c r="D157" s="7" t="str">
        <f>"20210175730"</f>
        <v>20210175730</v>
      </c>
      <c r="E157" s="7" t="str">
        <f t="shared" si="45"/>
        <v>57</v>
      </c>
      <c r="F157" s="7" t="str">
        <f>"30"</f>
        <v>30</v>
      </c>
      <c r="G157" s="8">
        <v>83.1</v>
      </c>
      <c r="H157" s="8">
        <v>75.8</v>
      </c>
      <c r="I157" s="8">
        <v>77.99</v>
      </c>
      <c r="J157" s="17">
        <v>44435</v>
      </c>
    </row>
    <row r="158" ht="20" customHeight="1" spans="1:10">
      <c r="A158" s="6">
        <v>18</v>
      </c>
      <c r="B158" s="7" t="str">
        <f t="shared" si="43"/>
        <v>017</v>
      </c>
      <c r="C158" s="7" t="str">
        <f>"梅梦燕"</f>
        <v>梅梦燕</v>
      </c>
      <c r="D158" s="7" t="str">
        <f>"20210175923"</f>
        <v>20210175923</v>
      </c>
      <c r="E158" s="7" t="str">
        <f t="shared" si="44"/>
        <v>59</v>
      </c>
      <c r="F158" s="7" t="str">
        <f>"23"</f>
        <v>23</v>
      </c>
      <c r="G158" s="8">
        <v>82.4</v>
      </c>
      <c r="H158" s="8">
        <v>74.9</v>
      </c>
      <c r="I158" s="8">
        <v>77.15</v>
      </c>
      <c r="J158" s="17">
        <v>44435</v>
      </c>
    </row>
    <row r="159" ht="20" customHeight="1" spans="1:10">
      <c r="A159" s="6">
        <v>19</v>
      </c>
      <c r="B159" s="7" t="str">
        <f t="shared" si="43"/>
        <v>017</v>
      </c>
      <c r="C159" s="7" t="str">
        <f>"乔诗雯"</f>
        <v>乔诗雯</v>
      </c>
      <c r="D159" s="7" t="str">
        <f>"20210175822"</f>
        <v>20210175822</v>
      </c>
      <c r="E159" s="7" t="str">
        <f>"58"</f>
        <v>58</v>
      </c>
      <c r="F159" s="7" t="str">
        <f>"22"</f>
        <v>22</v>
      </c>
      <c r="G159" s="8">
        <v>80.5</v>
      </c>
      <c r="H159" s="8">
        <v>74.2</v>
      </c>
      <c r="I159" s="8">
        <v>76.09</v>
      </c>
      <c r="J159" s="17">
        <v>44435</v>
      </c>
    </row>
    <row r="160" ht="20" customHeight="1" spans="1:10">
      <c r="A160" s="6">
        <v>20</v>
      </c>
      <c r="B160" s="7" t="str">
        <f t="shared" si="43"/>
        <v>017</v>
      </c>
      <c r="C160" s="7" t="str">
        <f>"王忍霞"</f>
        <v>王忍霞</v>
      </c>
      <c r="D160" s="7" t="str">
        <f>"20210175907"</f>
        <v>20210175907</v>
      </c>
      <c r="E160" s="7" t="str">
        <f t="shared" ref="E160:E162" si="46">"59"</f>
        <v>59</v>
      </c>
      <c r="F160" s="7" t="str">
        <f>"07"</f>
        <v>07</v>
      </c>
      <c r="G160" s="8">
        <v>80</v>
      </c>
      <c r="H160" s="8">
        <v>73.4</v>
      </c>
      <c r="I160" s="8">
        <v>75.38</v>
      </c>
      <c r="J160" s="17">
        <v>44435</v>
      </c>
    </row>
    <row r="161" ht="20" customHeight="1" spans="1:10">
      <c r="A161" s="6">
        <v>21</v>
      </c>
      <c r="B161" s="7" t="str">
        <f t="shared" si="43"/>
        <v>017</v>
      </c>
      <c r="C161" s="7" t="str">
        <f>"张晴"</f>
        <v>张晴</v>
      </c>
      <c r="D161" s="7" t="str">
        <f>"20210175901"</f>
        <v>20210175901</v>
      </c>
      <c r="E161" s="7" t="str">
        <f t="shared" si="46"/>
        <v>59</v>
      </c>
      <c r="F161" s="7" t="str">
        <f>"01"</f>
        <v>01</v>
      </c>
      <c r="G161" s="8">
        <v>83.8</v>
      </c>
      <c r="H161" s="8">
        <v>70.6</v>
      </c>
      <c r="I161" s="8">
        <v>74.56</v>
      </c>
      <c r="J161" s="17">
        <v>44435</v>
      </c>
    </row>
    <row r="162" ht="20" customHeight="1" spans="1:10">
      <c r="A162" s="6">
        <v>22</v>
      </c>
      <c r="B162" s="7" t="str">
        <f t="shared" si="43"/>
        <v>017</v>
      </c>
      <c r="C162" s="7" t="str">
        <f>"唐娟"</f>
        <v>唐娟</v>
      </c>
      <c r="D162" s="7" t="str">
        <f>"20210175932"</f>
        <v>20210175932</v>
      </c>
      <c r="E162" s="7" t="str">
        <f t="shared" si="46"/>
        <v>59</v>
      </c>
      <c r="F162" s="7" t="str">
        <f>"32"</f>
        <v>32</v>
      </c>
      <c r="G162" s="8">
        <v>67.8</v>
      </c>
      <c r="H162" s="8">
        <v>77.2</v>
      </c>
      <c r="I162" s="8">
        <v>74.38</v>
      </c>
      <c r="J162" s="17">
        <v>44435</v>
      </c>
    </row>
    <row r="163" ht="20" customHeight="1" spans="1:10">
      <c r="A163" s="6">
        <v>23</v>
      </c>
      <c r="B163" s="7" t="str">
        <f t="shared" si="43"/>
        <v>017</v>
      </c>
      <c r="C163" s="7" t="str">
        <f>"田一慧"</f>
        <v>田一慧</v>
      </c>
      <c r="D163" s="7" t="str">
        <f>"20210175810"</f>
        <v>20210175810</v>
      </c>
      <c r="E163" s="7" t="str">
        <f t="shared" ref="E163:E164" si="47">"58"</f>
        <v>58</v>
      </c>
      <c r="F163" s="7" t="str">
        <f>"10"</f>
        <v>10</v>
      </c>
      <c r="G163" s="8">
        <v>73.4</v>
      </c>
      <c r="H163" s="8">
        <v>74.7</v>
      </c>
      <c r="I163" s="8">
        <v>74.31</v>
      </c>
      <c r="J163" s="17">
        <v>44435</v>
      </c>
    </row>
    <row r="164" ht="20" customHeight="1" spans="1:10">
      <c r="A164" s="6">
        <v>24</v>
      </c>
      <c r="B164" s="7" t="str">
        <f t="shared" si="43"/>
        <v>017</v>
      </c>
      <c r="C164" s="7" t="str">
        <f>"赵梦雨"</f>
        <v>赵梦雨</v>
      </c>
      <c r="D164" s="7" t="str">
        <f>"20210175815"</f>
        <v>20210175815</v>
      </c>
      <c r="E164" s="7" t="str">
        <f t="shared" si="47"/>
        <v>58</v>
      </c>
      <c r="F164" s="7" t="str">
        <f>"15"</f>
        <v>15</v>
      </c>
      <c r="G164" s="8">
        <v>76.5</v>
      </c>
      <c r="H164" s="8">
        <v>71.9</v>
      </c>
      <c r="I164" s="8">
        <v>73.28</v>
      </c>
      <c r="J164" s="17">
        <v>44435</v>
      </c>
    </row>
    <row r="165" ht="20" customHeight="1" spans="1:10">
      <c r="A165" s="6">
        <v>25</v>
      </c>
      <c r="B165" s="7" t="str">
        <f t="shared" si="43"/>
        <v>017</v>
      </c>
      <c r="C165" s="7" t="str">
        <f>"赵玉琴"</f>
        <v>赵玉琴</v>
      </c>
      <c r="D165" s="7" t="str">
        <f>"20210175931"</f>
        <v>20210175931</v>
      </c>
      <c r="E165" s="7" t="str">
        <f t="shared" ref="E165:E166" si="48">"59"</f>
        <v>59</v>
      </c>
      <c r="F165" s="7" t="str">
        <f>"31"</f>
        <v>31</v>
      </c>
      <c r="G165" s="8">
        <v>70.6</v>
      </c>
      <c r="H165" s="8">
        <v>73.8</v>
      </c>
      <c r="I165" s="8">
        <v>72.84</v>
      </c>
      <c r="J165" s="17">
        <v>44435</v>
      </c>
    </row>
    <row r="166" ht="20" customHeight="1" spans="1:10">
      <c r="A166" s="6">
        <v>26</v>
      </c>
      <c r="B166" s="9" t="s">
        <v>29</v>
      </c>
      <c r="C166" s="10" t="str">
        <f>"张梦雨"</f>
        <v>张梦雨</v>
      </c>
      <c r="D166" s="10" t="str">
        <f>"20210175905"</f>
        <v>20210175905</v>
      </c>
      <c r="E166" s="10" t="str">
        <f t="shared" si="48"/>
        <v>59</v>
      </c>
      <c r="F166" s="10" t="str">
        <f>"05"</f>
        <v>05</v>
      </c>
      <c r="G166" s="11">
        <v>71.5</v>
      </c>
      <c r="H166" s="11">
        <v>72.2</v>
      </c>
      <c r="I166" s="11">
        <v>71.99</v>
      </c>
      <c r="J166" s="17">
        <v>44435</v>
      </c>
    </row>
    <row r="167" ht="20" customHeight="1" spans="1:10">
      <c r="A167" s="6">
        <v>27</v>
      </c>
      <c r="B167" s="9" t="s">
        <v>29</v>
      </c>
      <c r="C167" s="10" t="str">
        <f>"黄涵"</f>
        <v>黄涵</v>
      </c>
      <c r="D167" s="10" t="str">
        <f>"20210175821"</f>
        <v>20210175821</v>
      </c>
      <c r="E167" s="10" t="str">
        <f t="shared" ref="E167:E168" si="49">"58"</f>
        <v>58</v>
      </c>
      <c r="F167" s="10" t="str">
        <f>"21"</f>
        <v>21</v>
      </c>
      <c r="G167" s="11">
        <v>74.7</v>
      </c>
      <c r="H167" s="11">
        <v>70.5</v>
      </c>
      <c r="I167" s="11">
        <v>71.76</v>
      </c>
      <c r="J167" s="17">
        <v>44435</v>
      </c>
    </row>
    <row r="168" ht="20" customHeight="1" spans="1:10">
      <c r="A168" s="6">
        <v>28</v>
      </c>
      <c r="B168" s="16" t="s">
        <v>30</v>
      </c>
      <c r="C168" s="12" t="str">
        <f>"李玉凤"</f>
        <v>李玉凤</v>
      </c>
      <c r="D168" s="12" t="str">
        <f>"20210175825"</f>
        <v>20210175825</v>
      </c>
      <c r="E168" s="12" t="str">
        <f t="shared" si="49"/>
        <v>58</v>
      </c>
      <c r="F168" s="12" t="str">
        <f>"25"</f>
        <v>25</v>
      </c>
      <c r="G168" s="13">
        <v>69.3</v>
      </c>
      <c r="H168" s="13">
        <v>71</v>
      </c>
      <c r="I168" s="13">
        <v>70.49</v>
      </c>
      <c r="J168" s="17">
        <v>44435</v>
      </c>
    </row>
    <row r="169" ht="20" customHeight="1" spans="1:10">
      <c r="A169" s="6">
        <v>29</v>
      </c>
      <c r="B169" s="16" t="s">
        <v>30</v>
      </c>
      <c r="C169" s="12" t="str">
        <f>"于凯丽"</f>
        <v>于凯丽</v>
      </c>
      <c r="D169" s="12" t="str">
        <f>"20210175913"</f>
        <v>20210175913</v>
      </c>
      <c r="E169" s="12" t="str">
        <f>"59"</f>
        <v>59</v>
      </c>
      <c r="F169" s="12" t="str">
        <f>"13"</f>
        <v>13</v>
      </c>
      <c r="G169" s="13">
        <v>75.4</v>
      </c>
      <c r="H169" s="13">
        <v>67.9</v>
      </c>
      <c r="I169" s="13">
        <v>70.15</v>
      </c>
      <c r="J169" s="17">
        <v>44435</v>
      </c>
    </row>
    <row r="170" ht="20" customHeight="1" spans="1:10">
      <c r="A170" s="6">
        <v>30</v>
      </c>
      <c r="B170" s="16" t="s">
        <v>30</v>
      </c>
      <c r="C170" s="12" t="str">
        <f>"王颖泽"</f>
        <v>王颖泽</v>
      </c>
      <c r="D170" s="12" t="str">
        <f>"20210175806"</f>
        <v>20210175806</v>
      </c>
      <c r="E170" s="12" t="str">
        <f t="shared" ref="E170" si="50">"58"</f>
        <v>58</v>
      </c>
      <c r="F170" s="12" t="str">
        <f>"06"</f>
        <v>06</v>
      </c>
      <c r="G170" s="13">
        <v>70</v>
      </c>
      <c r="H170" s="13">
        <v>70.2</v>
      </c>
      <c r="I170" s="13">
        <v>70.14</v>
      </c>
      <c r="J170" s="17">
        <v>44435</v>
      </c>
    </row>
    <row r="171" ht="20" customHeight="1" spans="1:10">
      <c r="A171" s="14" t="s">
        <v>31</v>
      </c>
      <c r="B171" s="15"/>
      <c r="C171" s="15"/>
      <c r="D171" s="15"/>
      <c r="E171" s="15"/>
      <c r="F171" s="15"/>
      <c r="G171" s="15"/>
      <c r="H171" s="15"/>
      <c r="I171" s="15"/>
      <c r="J171" s="18"/>
    </row>
    <row r="172" ht="20" customHeight="1" spans="1:10">
      <c r="A172" s="4" t="s">
        <v>2</v>
      </c>
      <c r="B172" s="5" t="s">
        <v>3</v>
      </c>
      <c r="C172" s="4" t="s">
        <v>4</v>
      </c>
      <c r="D172" s="4" t="s">
        <v>5</v>
      </c>
      <c r="E172" s="4" t="s">
        <v>6</v>
      </c>
      <c r="F172" s="4" t="s">
        <v>7</v>
      </c>
      <c r="G172" s="4" t="s">
        <v>8</v>
      </c>
      <c r="H172" s="4" t="s">
        <v>9</v>
      </c>
      <c r="I172" s="4" t="s">
        <v>10</v>
      </c>
      <c r="J172" s="4" t="s">
        <v>11</v>
      </c>
    </row>
    <row r="173" ht="20" customHeight="1" spans="1:10">
      <c r="A173" s="4">
        <v>1</v>
      </c>
      <c r="B173" s="7" t="str">
        <f t="shared" ref="B173:B179" si="51">"010"</f>
        <v>010</v>
      </c>
      <c r="C173" s="7" t="str">
        <f>"张子妍"</f>
        <v>张子妍</v>
      </c>
      <c r="D173" s="7" t="str">
        <f>"20210103704"</f>
        <v>20210103704</v>
      </c>
      <c r="E173" s="7" t="str">
        <f>"37"</f>
        <v>37</v>
      </c>
      <c r="F173" s="7" t="str">
        <f>"04"</f>
        <v>04</v>
      </c>
      <c r="G173" s="8">
        <v>88.4</v>
      </c>
      <c r="H173" s="8">
        <v>84.3</v>
      </c>
      <c r="I173" s="8">
        <v>85.53</v>
      </c>
      <c r="J173" s="17">
        <v>44435</v>
      </c>
    </row>
    <row r="174" ht="20" customHeight="1" spans="1:10">
      <c r="A174" s="4">
        <v>2</v>
      </c>
      <c r="B174" s="7" t="str">
        <f t="shared" si="51"/>
        <v>010</v>
      </c>
      <c r="C174" s="7" t="str">
        <f>"王小碟"</f>
        <v>王小碟</v>
      </c>
      <c r="D174" s="7" t="str">
        <f>"20210103729"</f>
        <v>20210103729</v>
      </c>
      <c r="E174" s="7" t="str">
        <f>"37"</f>
        <v>37</v>
      </c>
      <c r="F174" s="7" t="str">
        <f>"29"</f>
        <v>29</v>
      </c>
      <c r="G174" s="8">
        <v>91.6</v>
      </c>
      <c r="H174" s="8">
        <v>82.4</v>
      </c>
      <c r="I174" s="8">
        <v>85.16</v>
      </c>
      <c r="J174" s="17">
        <v>44435</v>
      </c>
    </row>
    <row r="175" ht="20" customHeight="1" spans="1:10">
      <c r="A175" s="4">
        <v>3</v>
      </c>
      <c r="B175" s="7" t="str">
        <f t="shared" si="51"/>
        <v>010</v>
      </c>
      <c r="C175" s="7" t="str">
        <f>"李绚"</f>
        <v>李绚</v>
      </c>
      <c r="D175" s="7" t="str">
        <f>"20210103616"</f>
        <v>20210103616</v>
      </c>
      <c r="E175" s="7" t="str">
        <f t="shared" ref="E175" si="52">"36"</f>
        <v>36</v>
      </c>
      <c r="F175" s="7" t="str">
        <f>"16"</f>
        <v>16</v>
      </c>
      <c r="G175" s="8">
        <v>82.2</v>
      </c>
      <c r="H175" s="8">
        <v>82.5</v>
      </c>
      <c r="I175" s="8">
        <v>82.41</v>
      </c>
      <c r="J175" s="17">
        <v>44435</v>
      </c>
    </row>
    <row r="176" ht="20" customHeight="1" spans="1:10">
      <c r="A176" s="4">
        <v>4</v>
      </c>
      <c r="B176" s="7" t="str">
        <f t="shared" si="51"/>
        <v>010</v>
      </c>
      <c r="C176" s="7" t="str">
        <f>"张梦圆"</f>
        <v>张梦圆</v>
      </c>
      <c r="D176" s="7" t="str">
        <f>"20210103519"</f>
        <v>20210103519</v>
      </c>
      <c r="E176" s="7" t="str">
        <f>"35"</f>
        <v>35</v>
      </c>
      <c r="F176" s="7" t="str">
        <f>"19"</f>
        <v>19</v>
      </c>
      <c r="G176" s="8">
        <v>83.3</v>
      </c>
      <c r="H176" s="8">
        <v>76.1</v>
      </c>
      <c r="I176" s="8">
        <v>78.26</v>
      </c>
      <c r="J176" s="17">
        <v>44435</v>
      </c>
    </row>
    <row r="177" ht="20" customHeight="1" spans="1:10">
      <c r="A177" s="4">
        <v>5</v>
      </c>
      <c r="B177" s="7" t="str">
        <f t="shared" si="51"/>
        <v>010</v>
      </c>
      <c r="C177" s="7" t="str">
        <f>"张亚洁"</f>
        <v>张亚洁</v>
      </c>
      <c r="D177" s="7" t="str">
        <f>"20210103725"</f>
        <v>20210103725</v>
      </c>
      <c r="E177" s="7" t="str">
        <f t="shared" ref="E177:E178" si="53">"37"</f>
        <v>37</v>
      </c>
      <c r="F177" s="7" t="str">
        <f>"25"</f>
        <v>25</v>
      </c>
      <c r="G177" s="8">
        <v>87.4</v>
      </c>
      <c r="H177" s="8">
        <v>73</v>
      </c>
      <c r="I177" s="8">
        <v>77.32</v>
      </c>
      <c r="J177" s="17">
        <v>44435</v>
      </c>
    </row>
    <row r="178" ht="20" customHeight="1" spans="1:10">
      <c r="A178" s="4">
        <v>6</v>
      </c>
      <c r="B178" s="7" t="str">
        <f t="shared" si="51"/>
        <v>010</v>
      </c>
      <c r="C178" s="7" t="str">
        <f>"刘苏婉"</f>
        <v>刘苏婉</v>
      </c>
      <c r="D178" s="7" t="str">
        <f>"20210103714"</f>
        <v>20210103714</v>
      </c>
      <c r="E178" s="7" t="str">
        <f t="shared" si="53"/>
        <v>37</v>
      </c>
      <c r="F178" s="7" t="str">
        <f>"14"</f>
        <v>14</v>
      </c>
      <c r="G178" s="8">
        <v>84.2</v>
      </c>
      <c r="H178" s="8">
        <v>74.3</v>
      </c>
      <c r="I178" s="8">
        <v>77.27</v>
      </c>
      <c r="J178" s="17">
        <v>44435</v>
      </c>
    </row>
    <row r="179" ht="20" customHeight="1" spans="1:10">
      <c r="A179" s="4">
        <v>7</v>
      </c>
      <c r="B179" s="7" t="str">
        <f t="shared" si="51"/>
        <v>010</v>
      </c>
      <c r="C179" s="7" t="str">
        <f>"何欣欣"</f>
        <v>何欣欣</v>
      </c>
      <c r="D179" s="7" t="str">
        <f>"20210103606"</f>
        <v>20210103606</v>
      </c>
      <c r="E179" s="7" t="str">
        <f t="shared" ref="E179" si="54">"36"</f>
        <v>36</v>
      </c>
      <c r="F179" s="7" t="str">
        <f>"06"</f>
        <v>06</v>
      </c>
      <c r="G179" s="8">
        <v>74.1</v>
      </c>
      <c r="H179" s="8">
        <v>77.3</v>
      </c>
      <c r="I179" s="8">
        <v>76.34</v>
      </c>
      <c r="J179" s="17">
        <v>44435</v>
      </c>
    </row>
    <row r="180" ht="20" customHeight="1" spans="1:10">
      <c r="A180" s="4">
        <v>8</v>
      </c>
      <c r="B180" s="9" t="s">
        <v>32</v>
      </c>
      <c r="C180" s="10" t="str">
        <f>"刘品"</f>
        <v>刘品</v>
      </c>
      <c r="D180" s="10" t="str">
        <f>"20210103716"</f>
        <v>20210103716</v>
      </c>
      <c r="E180" s="10" t="str">
        <f t="shared" ref="E180" si="55">"37"</f>
        <v>37</v>
      </c>
      <c r="F180" s="10" t="str">
        <f>"16"</f>
        <v>16</v>
      </c>
      <c r="G180" s="11">
        <v>73.8</v>
      </c>
      <c r="H180" s="11">
        <v>76.7</v>
      </c>
      <c r="I180" s="11">
        <v>75.83</v>
      </c>
      <c r="J180" s="17">
        <v>44435</v>
      </c>
    </row>
    <row r="181" ht="20" customHeight="1" spans="1:10">
      <c r="A181" s="4">
        <v>9</v>
      </c>
      <c r="B181" s="9" t="s">
        <v>33</v>
      </c>
      <c r="C181" s="10" t="str">
        <f>"胥瑞瑞"</f>
        <v>胥瑞瑞</v>
      </c>
      <c r="D181" s="10" t="str">
        <f>"20210103522"</f>
        <v>20210103522</v>
      </c>
      <c r="E181" s="10" t="str">
        <f>"35"</f>
        <v>35</v>
      </c>
      <c r="F181" s="10" t="str">
        <f>"22"</f>
        <v>22</v>
      </c>
      <c r="G181" s="11">
        <v>74.5</v>
      </c>
      <c r="H181" s="11">
        <v>74.4</v>
      </c>
      <c r="I181" s="11">
        <v>74.43</v>
      </c>
      <c r="J181" s="17">
        <v>44435</v>
      </c>
    </row>
    <row r="182" ht="20" customHeight="1" spans="1:10">
      <c r="A182" s="4">
        <v>10</v>
      </c>
      <c r="B182" s="9" t="s">
        <v>33</v>
      </c>
      <c r="C182" s="10" t="str">
        <f>"刘艳飞"</f>
        <v>刘艳飞</v>
      </c>
      <c r="D182" s="10" t="str">
        <f>"20210103625"</f>
        <v>20210103625</v>
      </c>
      <c r="E182" s="10" t="str">
        <f>"36"</f>
        <v>36</v>
      </c>
      <c r="F182" s="10" t="str">
        <f>"25"</f>
        <v>25</v>
      </c>
      <c r="G182" s="11">
        <v>87.5</v>
      </c>
      <c r="H182" s="11">
        <v>68.6</v>
      </c>
      <c r="I182" s="11">
        <v>74.27</v>
      </c>
      <c r="J182" s="17">
        <v>44435</v>
      </c>
    </row>
    <row r="183" ht="20" customHeight="1" spans="1:10">
      <c r="A183" s="4">
        <v>11</v>
      </c>
      <c r="B183" s="9" t="s">
        <v>33</v>
      </c>
      <c r="C183" s="10" t="str">
        <f>"李陶丽"</f>
        <v>李陶丽</v>
      </c>
      <c r="D183" s="10" t="str">
        <f>"20210103718"</f>
        <v>20210103718</v>
      </c>
      <c r="E183" s="10" t="str">
        <f t="shared" ref="E183" si="56">"37"</f>
        <v>37</v>
      </c>
      <c r="F183" s="10" t="str">
        <f>"18"</f>
        <v>18</v>
      </c>
      <c r="G183" s="11">
        <v>76.3</v>
      </c>
      <c r="H183" s="11">
        <v>72.5</v>
      </c>
      <c r="I183" s="11">
        <v>73.64</v>
      </c>
      <c r="J183" s="17">
        <v>44435</v>
      </c>
    </row>
    <row r="184" ht="20" customHeight="1" spans="1:10">
      <c r="A184" s="4">
        <v>12</v>
      </c>
      <c r="B184" s="16" t="s">
        <v>32</v>
      </c>
      <c r="C184" s="12" t="str">
        <f>"杨婷婷"</f>
        <v>杨婷婷</v>
      </c>
      <c r="D184" s="12" t="str">
        <f>"20210103530"</f>
        <v>20210103530</v>
      </c>
      <c r="E184" s="12" t="str">
        <f>"35"</f>
        <v>35</v>
      </c>
      <c r="F184" s="12" t="str">
        <f>"30"</f>
        <v>30</v>
      </c>
      <c r="G184" s="13">
        <v>73.2</v>
      </c>
      <c r="H184" s="13">
        <v>73.7</v>
      </c>
      <c r="I184" s="13">
        <v>73.55</v>
      </c>
      <c r="J184" s="17">
        <v>44435</v>
      </c>
    </row>
    <row r="185" ht="20" customHeight="1" spans="1:10">
      <c r="A185" s="4">
        <v>13</v>
      </c>
      <c r="B185" s="19" t="s">
        <v>32</v>
      </c>
      <c r="C185" s="7" t="str">
        <f>"房雪晴"</f>
        <v>房雪晴</v>
      </c>
      <c r="D185" s="7" t="str">
        <f>"20210103726"</f>
        <v>20210103726</v>
      </c>
      <c r="E185" s="7" t="str">
        <f t="shared" ref="E185" si="57">"37"</f>
        <v>37</v>
      </c>
      <c r="F185" s="7" t="str">
        <f>"26"</f>
        <v>26</v>
      </c>
      <c r="G185" s="8">
        <v>71.4</v>
      </c>
      <c r="H185" s="8">
        <v>73.9</v>
      </c>
      <c r="I185" s="8">
        <v>73.15</v>
      </c>
      <c r="J185" s="17">
        <v>44435</v>
      </c>
    </row>
    <row r="186" ht="20" customHeight="1" spans="1:10">
      <c r="A186" s="4">
        <v>14</v>
      </c>
      <c r="B186" s="7" t="str">
        <f t="shared" ref="B186:B197" si="58">"011"</f>
        <v>011</v>
      </c>
      <c r="C186" s="7" t="str">
        <f>"孙皖皖"</f>
        <v>孙皖皖</v>
      </c>
      <c r="D186" s="7" t="str">
        <f>"20210113904"</f>
        <v>20210113904</v>
      </c>
      <c r="E186" s="7" t="str">
        <f t="shared" ref="E186:E188" si="59">"39"</f>
        <v>39</v>
      </c>
      <c r="F186" s="7" t="str">
        <f>"04"</f>
        <v>04</v>
      </c>
      <c r="G186" s="8">
        <v>85.7</v>
      </c>
      <c r="H186" s="8">
        <v>80.5</v>
      </c>
      <c r="I186" s="8">
        <v>82.06</v>
      </c>
      <c r="J186" s="17">
        <v>44435</v>
      </c>
    </row>
    <row r="187" ht="20" customHeight="1" spans="1:10">
      <c r="A187" s="4">
        <v>15</v>
      </c>
      <c r="B187" s="7" t="str">
        <f t="shared" si="58"/>
        <v>011</v>
      </c>
      <c r="C187" s="7" t="str">
        <f>"聂路路"</f>
        <v>聂路路</v>
      </c>
      <c r="D187" s="7" t="str">
        <f>"20210114005"</f>
        <v>20210114005</v>
      </c>
      <c r="E187" s="7" t="str">
        <f t="shared" ref="E187:E189" si="60">"40"</f>
        <v>40</v>
      </c>
      <c r="F187" s="7" t="str">
        <f>"05"</f>
        <v>05</v>
      </c>
      <c r="G187" s="8">
        <v>86.8</v>
      </c>
      <c r="H187" s="8">
        <v>79.4</v>
      </c>
      <c r="I187" s="8">
        <v>81.62</v>
      </c>
      <c r="J187" s="17">
        <v>44435</v>
      </c>
    </row>
    <row r="188" ht="20" customHeight="1" spans="1:10">
      <c r="A188" s="4">
        <v>16</v>
      </c>
      <c r="B188" s="7" t="str">
        <f t="shared" si="58"/>
        <v>011</v>
      </c>
      <c r="C188" s="7" t="str">
        <f>"王秋歌"</f>
        <v>王秋歌</v>
      </c>
      <c r="D188" s="7" t="str">
        <f>"20210113917"</f>
        <v>20210113917</v>
      </c>
      <c r="E188" s="7" t="str">
        <f t="shared" si="59"/>
        <v>39</v>
      </c>
      <c r="F188" s="7" t="str">
        <f>"17"</f>
        <v>17</v>
      </c>
      <c r="G188" s="8">
        <v>80.4</v>
      </c>
      <c r="H188" s="8">
        <v>78.2</v>
      </c>
      <c r="I188" s="8">
        <v>78.86</v>
      </c>
      <c r="J188" s="17">
        <v>44435</v>
      </c>
    </row>
    <row r="189" ht="20" customHeight="1" spans="1:10">
      <c r="A189" s="4">
        <v>17</v>
      </c>
      <c r="B189" s="7" t="str">
        <f t="shared" si="58"/>
        <v>011</v>
      </c>
      <c r="C189" s="7" t="str">
        <f>"李思念"</f>
        <v>李思念</v>
      </c>
      <c r="D189" s="7" t="str">
        <f>"20210114011"</f>
        <v>20210114011</v>
      </c>
      <c r="E189" s="7" t="str">
        <f t="shared" si="60"/>
        <v>40</v>
      </c>
      <c r="F189" s="7" t="str">
        <f>"11"</f>
        <v>11</v>
      </c>
      <c r="G189" s="8">
        <v>74.8</v>
      </c>
      <c r="H189" s="8">
        <v>79.5</v>
      </c>
      <c r="I189" s="8">
        <v>78.09</v>
      </c>
      <c r="J189" s="17">
        <v>44435</v>
      </c>
    </row>
    <row r="190" ht="20" customHeight="1" spans="1:10">
      <c r="A190" s="4">
        <v>18</v>
      </c>
      <c r="B190" s="7" t="str">
        <f t="shared" si="58"/>
        <v>011</v>
      </c>
      <c r="C190" s="7" t="str">
        <f>"周臣臣"</f>
        <v>周臣臣</v>
      </c>
      <c r="D190" s="7" t="str">
        <f>"20210113918"</f>
        <v>20210113918</v>
      </c>
      <c r="E190" s="7" t="str">
        <f>"39"</f>
        <v>39</v>
      </c>
      <c r="F190" s="7" t="str">
        <f>"18"</f>
        <v>18</v>
      </c>
      <c r="G190" s="8">
        <v>72.2</v>
      </c>
      <c r="H190" s="8">
        <v>80.3</v>
      </c>
      <c r="I190" s="8">
        <v>77.87</v>
      </c>
      <c r="J190" s="17">
        <v>44435</v>
      </c>
    </row>
    <row r="191" ht="20" customHeight="1" spans="1:10">
      <c r="A191" s="4">
        <v>19</v>
      </c>
      <c r="B191" s="7" t="str">
        <f t="shared" si="58"/>
        <v>011</v>
      </c>
      <c r="C191" s="7" t="str">
        <f>"王宇欣"</f>
        <v>王宇欣</v>
      </c>
      <c r="D191" s="7" t="str">
        <f>"20210114003"</f>
        <v>20210114003</v>
      </c>
      <c r="E191" s="7" t="str">
        <f>"40"</f>
        <v>40</v>
      </c>
      <c r="F191" s="7" t="str">
        <f>"03"</f>
        <v>03</v>
      </c>
      <c r="G191" s="8">
        <v>80.2</v>
      </c>
      <c r="H191" s="8">
        <v>73</v>
      </c>
      <c r="I191" s="8">
        <v>75.16</v>
      </c>
      <c r="J191" s="17">
        <v>44435</v>
      </c>
    </row>
    <row r="192" ht="20" customHeight="1" spans="1:10">
      <c r="A192" s="4">
        <v>20</v>
      </c>
      <c r="B192" s="7" t="str">
        <f t="shared" si="58"/>
        <v>011</v>
      </c>
      <c r="C192" s="7" t="str">
        <f>"朱梦妮"</f>
        <v>朱梦妮</v>
      </c>
      <c r="D192" s="7" t="str">
        <f>"20210113803"</f>
        <v>20210113803</v>
      </c>
      <c r="E192" s="7" t="str">
        <f t="shared" ref="E192:E195" si="61">"38"</f>
        <v>38</v>
      </c>
      <c r="F192" s="7" t="str">
        <f>"03"</f>
        <v>03</v>
      </c>
      <c r="G192" s="8">
        <v>74.9</v>
      </c>
      <c r="H192" s="8">
        <v>74.1</v>
      </c>
      <c r="I192" s="8">
        <v>74.34</v>
      </c>
      <c r="J192" s="17">
        <v>44435</v>
      </c>
    </row>
    <row r="193" ht="20" customHeight="1" spans="1:10">
      <c r="A193" s="4">
        <v>21</v>
      </c>
      <c r="B193" s="7" t="str">
        <f t="shared" si="58"/>
        <v>011</v>
      </c>
      <c r="C193" s="7" t="str">
        <f>"江星晨"</f>
        <v>江星晨</v>
      </c>
      <c r="D193" s="7" t="str">
        <f>"20210113828"</f>
        <v>20210113828</v>
      </c>
      <c r="E193" s="7" t="str">
        <f t="shared" si="61"/>
        <v>38</v>
      </c>
      <c r="F193" s="7" t="str">
        <f>"28"</f>
        <v>28</v>
      </c>
      <c r="G193" s="8">
        <v>75.8</v>
      </c>
      <c r="H193" s="8">
        <v>72.7</v>
      </c>
      <c r="I193" s="8">
        <v>73.63</v>
      </c>
      <c r="J193" s="17">
        <v>44435</v>
      </c>
    </row>
    <row r="194" ht="20" customHeight="1" spans="1:10">
      <c r="A194" s="4">
        <v>22</v>
      </c>
      <c r="B194" s="7" t="str">
        <f t="shared" si="58"/>
        <v>011</v>
      </c>
      <c r="C194" s="7" t="str">
        <f>"陶梅"</f>
        <v>陶梅</v>
      </c>
      <c r="D194" s="7" t="str">
        <f>"20210113916"</f>
        <v>20210113916</v>
      </c>
      <c r="E194" s="7" t="str">
        <f>"39"</f>
        <v>39</v>
      </c>
      <c r="F194" s="7" t="str">
        <f>"16"</f>
        <v>16</v>
      </c>
      <c r="G194" s="8">
        <v>77.2</v>
      </c>
      <c r="H194" s="8">
        <v>71.8</v>
      </c>
      <c r="I194" s="8">
        <v>73.42</v>
      </c>
      <c r="J194" s="17">
        <v>44435</v>
      </c>
    </row>
    <row r="195" ht="20" customHeight="1" spans="1:10">
      <c r="A195" s="4">
        <v>23</v>
      </c>
      <c r="B195" s="7" t="str">
        <f t="shared" si="58"/>
        <v>011</v>
      </c>
      <c r="C195" s="7" t="str">
        <f>"王雪连"</f>
        <v>王雪连</v>
      </c>
      <c r="D195" s="7" t="str">
        <f>"20210113816"</f>
        <v>20210113816</v>
      </c>
      <c r="E195" s="7" t="str">
        <f t="shared" si="61"/>
        <v>38</v>
      </c>
      <c r="F195" s="7" t="str">
        <f>"16"</f>
        <v>16</v>
      </c>
      <c r="G195" s="8">
        <v>73.9</v>
      </c>
      <c r="H195" s="8">
        <v>73.2</v>
      </c>
      <c r="I195" s="8">
        <v>73.41</v>
      </c>
      <c r="J195" s="17">
        <v>44435</v>
      </c>
    </row>
    <row r="196" ht="20" customHeight="1" spans="1:10">
      <c r="A196" s="4">
        <v>24</v>
      </c>
      <c r="B196" s="7" t="str">
        <f t="shared" si="58"/>
        <v>011</v>
      </c>
      <c r="C196" s="7" t="str">
        <f>"相星星"</f>
        <v>相星星</v>
      </c>
      <c r="D196" s="7" t="str">
        <f>"20210114002"</f>
        <v>20210114002</v>
      </c>
      <c r="E196" s="7" t="str">
        <f>"40"</f>
        <v>40</v>
      </c>
      <c r="F196" s="7" t="str">
        <f>"02"</f>
        <v>02</v>
      </c>
      <c r="G196" s="8">
        <v>75.4</v>
      </c>
      <c r="H196" s="8">
        <v>72.3</v>
      </c>
      <c r="I196" s="8">
        <v>73.23</v>
      </c>
      <c r="J196" s="17">
        <v>44435</v>
      </c>
    </row>
    <row r="197" ht="20" customHeight="1" spans="1:10">
      <c r="A197" s="4">
        <v>25</v>
      </c>
      <c r="B197" s="7" t="str">
        <f t="shared" si="58"/>
        <v>011</v>
      </c>
      <c r="C197" s="7" t="str">
        <f>"陈悦悦"</f>
        <v>陈悦悦</v>
      </c>
      <c r="D197" s="7" t="str">
        <f>"20210113923"</f>
        <v>20210113923</v>
      </c>
      <c r="E197" s="7" t="str">
        <f t="shared" ref="E197" si="62">"39"</f>
        <v>39</v>
      </c>
      <c r="F197" s="7" t="str">
        <f>"23"</f>
        <v>23</v>
      </c>
      <c r="G197" s="8">
        <v>79.4</v>
      </c>
      <c r="H197" s="8">
        <v>69.8</v>
      </c>
      <c r="I197" s="8">
        <v>72.68</v>
      </c>
      <c r="J197" s="17">
        <v>44435</v>
      </c>
    </row>
    <row r="198" ht="20" customHeight="1" spans="1:10">
      <c r="A198" s="4">
        <v>26</v>
      </c>
      <c r="B198" s="9" t="s">
        <v>34</v>
      </c>
      <c r="C198" s="10" t="str">
        <f>"李婉露"</f>
        <v>李婉露</v>
      </c>
      <c r="D198" s="10" t="str">
        <f>"20210113801"</f>
        <v>20210113801</v>
      </c>
      <c r="E198" s="10" t="str">
        <f>"38"</f>
        <v>38</v>
      </c>
      <c r="F198" s="10" t="str">
        <f>"01"</f>
        <v>01</v>
      </c>
      <c r="G198" s="11">
        <v>80.1</v>
      </c>
      <c r="H198" s="11">
        <v>69.2</v>
      </c>
      <c r="I198" s="11">
        <v>72.47</v>
      </c>
      <c r="J198" s="17">
        <v>44435</v>
      </c>
    </row>
    <row r="199" ht="20" customHeight="1" spans="1:10">
      <c r="A199" s="4">
        <v>27</v>
      </c>
      <c r="B199" s="9" t="s">
        <v>34</v>
      </c>
      <c r="C199" s="10" t="str">
        <f>"王近近"</f>
        <v>王近近</v>
      </c>
      <c r="D199" s="10" t="str">
        <f>"20210113924"</f>
        <v>20210113924</v>
      </c>
      <c r="E199" s="10" t="str">
        <f t="shared" ref="E199:E201" si="63">"39"</f>
        <v>39</v>
      </c>
      <c r="F199" s="10" t="str">
        <f>"24"</f>
        <v>24</v>
      </c>
      <c r="G199" s="11">
        <v>78.9</v>
      </c>
      <c r="H199" s="11">
        <v>69.5</v>
      </c>
      <c r="I199" s="11">
        <v>72.32</v>
      </c>
      <c r="J199" s="17">
        <v>44435</v>
      </c>
    </row>
    <row r="200" ht="20" customHeight="1" spans="1:10">
      <c r="A200" s="4">
        <v>28</v>
      </c>
      <c r="B200" s="9" t="s">
        <v>35</v>
      </c>
      <c r="C200" s="10" t="str">
        <f>"张皖雪"</f>
        <v>张皖雪</v>
      </c>
      <c r="D200" s="10" t="str">
        <f>"20210113926"</f>
        <v>20210113926</v>
      </c>
      <c r="E200" s="10" t="str">
        <f t="shared" si="63"/>
        <v>39</v>
      </c>
      <c r="F200" s="10" t="str">
        <f>"26"</f>
        <v>26</v>
      </c>
      <c r="G200" s="11">
        <v>68.8</v>
      </c>
      <c r="H200" s="11">
        <v>73.2</v>
      </c>
      <c r="I200" s="11">
        <v>71.88</v>
      </c>
      <c r="J200" s="17">
        <v>44435</v>
      </c>
    </row>
    <row r="201" ht="20" customHeight="1" spans="1:10">
      <c r="A201" s="4">
        <v>29</v>
      </c>
      <c r="B201" s="16" t="s">
        <v>34</v>
      </c>
      <c r="C201" s="12" t="str">
        <f>"蒋甜梦"</f>
        <v>蒋甜梦</v>
      </c>
      <c r="D201" s="12" t="str">
        <f>"20210113914"</f>
        <v>20210113914</v>
      </c>
      <c r="E201" s="12" t="str">
        <f t="shared" si="63"/>
        <v>39</v>
      </c>
      <c r="F201" s="12" t="str">
        <f>"14"</f>
        <v>14</v>
      </c>
      <c r="G201" s="13">
        <v>81.7</v>
      </c>
      <c r="H201" s="13">
        <v>67.5</v>
      </c>
      <c r="I201" s="13">
        <v>71.76</v>
      </c>
      <c r="J201" s="17">
        <v>44435</v>
      </c>
    </row>
    <row r="202" ht="20" customHeight="1" spans="1:10">
      <c r="A202" s="14" t="s">
        <v>36</v>
      </c>
      <c r="B202" s="15"/>
      <c r="C202" s="15"/>
      <c r="D202" s="15"/>
      <c r="E202" s="15"/>
      <c r="F202" s="15"/>
      <c r="G202" s="15"/>
      <c r="H202" s="15"/>
      <c r="I202" s="15"/>
      <c r="J202" s="18"/>
    </row>
    <row r="203" ht="20" customHeight="1" spans="1:10">
      <c r="A203" s="4" t="s">
        <v>2</v>
      </c>
      <c r="B203" s="5" t="s">
        <v>3</v>
      </c>
      <c r="C203" s="4" t="s">
        <v>4</v>
      </c>
      <c r="D203" s="4" t="s">
        <v>5</v>
      </c>
      <c r="E203" s="4" t="s">
        <v>6</v>
      </c>
      <c r="F203" s="4" t="s">
        <v>7</v>
      </c>
      <c r="G203" s="4" t="s">
        <v>8</v>
      </c>
      <c r="H203" s="4" t="s">
        <v>9</v>
      </c>
      <c r="I203" s="4" t="s">
        <v>10</v>
      </c>
      <c r="J203" s="4" t="s">
        <v>11</v>
      </c>
    </row>
    <row r="204" ht="20" customHeight="1" spans="1:10">
      <c r="A204" s="6">
        <v>1</v>
      </c>
      <c r="B204" s="7" t="str">
        <f t="shared" ref="B204:B220" si="64">"006"</f>
        <v>006</v>
      </c>
      <c r="C204" s="7" t="str">
        <f>"胡静"</f>
        <v>胡静</v>
      </c>
      <c r="D204" s="7" t="str">
        <f>"20210062507"</f>
        <v>20210062507</v>
      </c>
      <c r="E204" s="7" t="str">
        <f t="shared" ref="E204:E205" si="65">"25"</f>
        <v>25</v>
      </c>
      <c r="F204" s="7" t="str">
        <f>"07"</f>
        <v>07</v>
      </c>
      <c r="G204" s="8">
        <v>85.3</v>
      </c>
      <c r="H204" s="8">
        <v>89</v>
      </c>
      <c r="I204" s="8">
        <v>87.89</v>
      </c>
      <c r="J204" s="17">
        <v>44436</v>
      </c>
    </row>
    <row r="205" ht="20" customHeight="1" spans="1:10">
      <c r="A205" s="6">
        <v>2</v>
      </c>
      <c r="B205" s="7" t="str">
        <f t="shared" si="64"/>
        <v>006</v>
      </c>
      <c r="C205" s="7" t="str">
        <f>"武心语"</f>
        <v>武心语</v>
      </c>
      <c r="D205" s="7" t="str">
        <f>"20210062513"</f>
        <v>20210062513</v>
      </c>
      <c r="E205" s="7" t="str">
        <f t="shared" si="65"/>
        <v>25</v>
      </c>
      <c r="F205" s="7" t="str">
        <f>"13"</f>
        <v>13</v>
      </c>
      <c r="G205" s="8">
        <v>87.1</v>
      </c>
      <c r="H205" s="8">
        <v>85.9</v>
      </c>
      <c r="I205" s="8">
        <v>86.26</v>
      </c>
      <c r="J205" s="17">
        <v>44436</v>
      </c>
    </row>
    <row r="206" ht="20" customHeight="1" spans="1:10">
      <c r="A206" s="6">
        <v>3</v>
      </c>
      <c r="B206" s="7" t="str">
        <f t="shared" si="64"/>
        <v>006</v>
      </c>
      <c r="C206" s="7" t="str">
        <f>"郭傲然"</f>
        <v>郭傲然</v>
      </c>
      <c r="D206" s="7" t="str">
        <f>"20210062530"</f>
        <v>20210062530</v>
      </c>
      <c r="E206" s="7" t="str">
        <f t="shared" ref="E206:E211" si="66">"25"</f>
        <v>25</v>
      </c>
      <c r="F206" s="7" t="str">
        <f>"30"</f>
        <v>30</v>
      </c>
      <c r="G206" s="8">
        <v>83.4</v>
      </c>
      <c r="H206" s="8">
        <v>84.7</v>
      </c>
      <c r="I206" s="8">
        <v>84.31</v>
      </c>
      <c r="J206" s="17">
        <v>44436</v>
      </c>
    </row>
    <row r="207" ht="20" customHeight="1" spans="1:10">
      <c r="A207" s="6">
        <v>4</v>
      </c>
      <c r="B207" s="7" t="str">
        <f t="shared" si="64"/>
        <v>006</v>
      </c>
      <c r="C207" s="7" t="str">
        <f>"胡苓"</f>
        <v>胡苓</v>
      </c>
      <c r="D207" s="7" t="str">
        <f>"20210062322"</f>
        <v>20210062322</v>
      </c>
      <c r="E207" s="7" t="str">
        <f>"23"</f>
        <v>23</v>
      </c>
      <c r="F207" s="7" t="str">
        <f>"22"</f>
        <v>22</v>
      </c>
      <c r="G207" s="8">
        <v>86</v>
      </c>
      <c r="H207" s="8">
        <v>81.9</v>
      </c>
      <c r="I207" s="8">
        <v>83.13</v>
      </c>
      <c r="J207" s="17">
        <v>44436</v>
      </c>
    </row>
    <row r="208" ht="20" customHeight="1" spans="1:10">
      <c r="A208" s="6">
        <v>5</v>
      </c>
      <c r="B208" s="7" t="str">
        <f t="shared" si="64"/>
        <v>006</v>
      </c>
      <c r="C208" s="7" t="str">
        <f>"李文杰"</f>
        <v>李文杰</v>
      </c>
      <c r="D208" s="7" t="str">
        <f>"20210062406"</f>
        <v>20210062406</v>
      </c>
      <c r="E208" s="7" t="str">
        <f>"24"</f>
        <v>24</v>
      </c>
      <c r="F208" s="7" t="str">
        <f>"06"</f>
        <v>06</v>
      </c>
      <c r="G208" s="8">
        <v>83.5</v>
      </c>
      <c r="H208" s="8">
        <v>81.1</v>
      </c>
      <c r="I208" s="8">
        <v>81.82</v>
      </c>
      <c r="J208" s="17">
        <v>44436</v>
      </c>
    </row>
    <row r="209" ht="20" customHeight="1" spans="1:10">
      <c r="A209" s="6">
        <v>6</v>
      </c>
      <c r="B209" s="7" t="str">
        <f t="shared" si="64"/>
        <v>006</v>
      </c>
      <c r="C209" s="7" t="str">
        <f>"郭东艳"</f>
        <v>郭东艳</v>
      </c>
      <c r="D209" s="7" t="str">
        <f>"20210062601"</f>
        <v>20210062601</v>
      </c>
      <c r="E209" s="7" t="str">
        <f>"26"</f>
        <v>26</v>
      </c>
      <c r="F209" s="7" t="str">
        <f>"01"</f>
        <v>01</v>
      </c>
      <c r="G209" s="8">
        <v>76.2</v>
      </c>
      <c r="H209" s="8">
        <v>83.9</v>
      </c>
      <c r="I209" s="8">
        <v>81.59</v>
      </c>
      <c r="J209" s="17">
        <v>44436</v>
      </c>
    </row>
    <row r="210" ht="20" customHeight="1" spans="1:10">
      <c r="A210" s="6">
        <v>7</v>
      </c>
      <c r="B210" s="7" t="str">
        <f t="shared" si="64"/>
        <v>006</v>
      </c>
      <c r="C210" s="7" t="str">
        <f>"李丹丹"</f>
        <v>李丹丹</v>
      </c>
      <c r="D210" s="7" t="str">
        <f>"20210062517"</f>
        <v>20210062517</v>
      </c>
      <c r="E210" s="7" t="str">
        <f t="shared" si="66"/>
        <v>25</v>
      </c>
      <c r="F210" s="7" t="str">
        <f>"17"</f>
        <v>17</v>
      </c>
      <c r="G210" s="8">
        <v>84</v>
      </c>
      <c r="H210" s="8">
        <v>80</v>
      </c>
      <c r="I210" s="8">
        <v>81.2</v>
      </c>
      <c r="J210" s="17">
        <v>44436</v>
      </c>
    </row>
    <row r="211" ht="20" customHeight="1" spans="1:10">
      <c r="A211" s="6">
        <v>8</v>
      </c>
      <c r="B211" s="7" t="str">
        <f t="shared" si="64"/>
        <v>006</v>
      </c>
      <c r="C211" s="7" t="str">
        <f>"邵浩冉"</f>
        <v>邵浩冉</v>
      </c>
      <c r="D211" s="7" t="str">
        <f>"20210062521"</f>
        <v>20210062521</v>
      </c>
      <c r="E211" s="7" t="str">
        <f t="shared" si="66"/>
        <v>25</v>
      </c>
      <c r="F211" s="7" t="str">
        <f>"21"</f>
        <v>21</v>
      </c>
      <c r="G211" s="8">
        <v>78.1</v>
      </c>
      <c r="H211" s="8">
        <v>81.9</v>
      </c>
      <c r="I211" s="8">
        <v>80.76</v>
      </c>
      <c r="J211" s="17">
        <v>44436</v>
      </c>
    </row>
    <row r="212" ht="20" customHeight="1" spans="1:10">
      <c r="A212" s="6">
        <v>9</v>
      </c>
      <c r="B212" s="7" t="str">
        <f t="shared" si="64"/>
        <v>006</v>
      </c>
      <c r="C212" s="7" t="str">
        <f>"赵黎娜"</f>
        <v>赵黎娜</v>
      </c>
      <c r="D212" s="7" t="str">
        <f>"20210062230"</f>
        <v>20210062230</v>
      </c>
      <c r="E212" s="7" t="str">
        <f>"22"</f>
        <v>22</v>
      </c>
      <c r="F212" s="7" t="str">
        <f>"30"</f>
        <v>30</v>
      </c>
      <c r="G212" s="8">
        <v>80.8</v>
      </c>
      <c r="H212" s="8">
        <v>80.6</v>
      </c>
      <c r="I212" s="8">
        <v>80.66</v>
      </c>
      <c r="J212" s="17">
        <v>44436</v>
      </c>
    </row>
    <row r="213" ht="20" customHeight="1" spans="1:10">
      <c r="A213" s="6">
        <v>10</v>
      </c>
      <c r="B213" s="7" t="str">
        <f t="shared" si="64"/>
        <v>006</v>
      </c>
      <c r="C213" s="7" t="str">
        <f>"徐梦巧"</f>
        <v>徐梦巧</v>
      </c>
      <c r="D213" s="7" t="str">
        <f>"20210062303"</f>
        <v>20210062303</v>
      </c>
      <c r="E213" s="7" t="str">
        <f t="shared" ref="E213" si="67">"23"</f>
        <v>23</v>
      </c>
      <c r="F213" s="7" t="str">
        <f>"03"</f>
        <v>03</v>
      </c>
      <c r="G213" s="8">
        <v>84.7</v>
      </c>
      <c r="H213" s="8">
        <v>78.3</v>
      </c>
      <c r="I213" s="8">
        <v>80.22</v>
      </c>
      <c r="J213" s="17">
        <v>44436</v>
      </c>
    </row>
    <row r="214" ht="20" customHeight="1" spans="1:10">
      <c r="A214" s="6">
        <v>11</v>
      </c>
      <c r="B214" s="7" t="str">
        <f t="shared" si="64"/>
        <v>006</v>
      </c>
      <c r="C214" s="7" t="str">
        <f>"李梦雅"</f>
        <v>李梦雅</v>
      </c>
      <c r="D214" s="7" t="str">
        <f>"20210062512"</f>
        <v>20210062512</v>
      </c>
      <c r="E214" s="7" t="str">
        <f t="shared" ref="E214:E217" si="68">"25"</f>
        <v>25</v>
      </c>
      <c r="F214" s="7" t="str">
        <f>"12"</f>
        <v>12</v>
      </c>
      <c r="G214" s="8">
        <v>82</v>
      </c>
      <c r="H214" s="8">
        <v>79.3</v>
      </c>
      <c r="I214" s="8">
        <v>80.11</v>
      </c>
      <c r="J214" s="17">
        <v>44436</v>
      </c>
    </row>
    <row r="215" ht="20" customHeight="1" spans="1:10">
      <c r="A215" s="6">
        <v>12</v>
      </c>
      <c r="B215" s="7" t="str">
        <f t="shared" si="64"/>
        <v>006</v>
      </c>
      <c r="C215" s="7" t="str">
        <f>"夏思雅"</f>
        <v>夏思雅</v>
      </c>
      <c r="D215" s="7" t="str">
        <f>"20210062506"</f>
        <v>20210062506</v>
      </c>
      <c r="E215" s="7" t="str">
        <f t="shared" si="68"/>
        <v>25</v>
      </c>
      <c r="F215" s="7" t="str">
        <f>"06"</f>
        <v>06</v>
      </c>
      <c r="G215" s="8">
        <v>86.2</v>
      </c>
      <c r="H215" s="8">
        <v>76.9</v>
      </c>
      <c r="I215" s="8">
        <v>79.69</v>
      </c>
      <c r="J215" s="17">
        <v>44436</v>
      </c>
    </row>
    <row r="216" ht="20" customHeight="1" spans="1:10">
      <c r="A216" s="6">
        <v>13</v>
      </c>
      <c r="B216" s="7" t="str">
        <f t="shared" si="64"/>
        <v>006</v>
      </c>
      <c r="C216" s="7" t="str">
        <f>"杨雨晴"</f>
        <v>杨雨晴</v>
      </c>
      <c r="D216" s="7" t="str">
        <f>"20210062522"</f>
        <v>20210062522</v>
      </c>
      <c r="E216" s="7" t="str">
        <f t="shared" si="68"/>
        <v>25</v>
      </c>
      <c r="F216" s="7" t="str">
        <f>"22"</f>
        <v>22</v>
      </c>
      <c r="G216" s="8">
        <v>82.7</v>
      </c>
      <c r="H216" s="8">
        <v>77.8</v>
      </c>
      <c r="I216" s="8">
        <v>79.27</v>
      </c>
      <c r="J216" s="17">
        <v>44436</v>
      </c>
    </row>
    <row r="217" ht="20" customHeight="1" spans="1:10">
      <c r="A217" s="6">
        <v>14</v>
      </c>
      <c r="B217" s="7" t="str">
        <f t="shared" si="64"/>
        <v>006</v>
      </c>
      <c r="C217" s="7" t="str">
        <f>"冯玉莹"</f>
        <v>冯玉莹</v>
      </c>
      <c r="D217" s="7" t="str">
        <f>"20210062525"</f>
        <v>20210062525</v>
      </c>
      <c r="E217" s="7" t="str">
        <f t="shared" si="68"/>
        <v>25</v>
      </c>
      <c r="F217" s="7" t="str">
        <f>"25"</f>
        <v>25</v>
      </c>
      <c r="G217" s="8">
        <v>81.8</v>
      </c>
      <c r="H217" s="8">
        <v>77.1</v>
      </c>
      <c r="I217" s="8">
        <v>78.51</v>
      </c>
      <c r="J217" s="17">
        <v>44436</v>
      </c>
    </row>
    <row r="218" ht="20" customHeight="1" spans="1:10">
      <c r="A218" s="6">
        <v>15</v>
      </c>
      <c r="B218" s="7" t="str">
        <f t="shared" si="64"/>
        <v>006</v>
      </c>
      <c r="C218" s="7" t="str">
        <f>"段婷婷"</f>
        <v>段婷婷</v>
      </c>
      <c r="D218" s="7" t="str">
        <f>"20210062602"</f>
        <v>20210062602</v>
      </c>
      <c r="E218" s="7" t="str">
        <f>"26"</f>
        <v>26</v>
      </c>
      <c r="F218" s="7" t="str">
        <f>"02"</f>
        <v>02</v>
      </c>
      <c r="G218" s="8">
        <v>80.1</v>
      </c>
      <c r="H218" s="8">
        <v>77.6</v>
      </c>
      <c r="I218" s="8">
        <v>78.35</v>
      </c>
      <c r="J218" s="17">
        <v>44436</v>
      </c>
    </row>
    <row r="219" ht="20" customHeight="1" spans="1:10">
      <c r="A219" s="6">
        <v>16</v>
      </c>
      <c r="B219" s="7" t="str">
        <f t="shared" si="64"/>
        <v>006</v>
      </c>
      <c r="C219" s="7" t="str">
        <f>"李晓曼"</f>
        <v>李晓曼</v>
      </c>
      <c r="D219" s="7" t="str">
        <f>"20210062308"</f>
        <v>20210062308</v>
      </c>
      <c r="E219" s="7" t="str">
        <f>"23"</f>
        <v>23</v>
      </c>
      <c r="F219" s="7" t="str">
        <f>"08"</f>
        <v>08</v>
      </c>
      <c r="G219" s="8">
        <v>81.7</v>
      </c>
      <c r="H219" s="8">
        <v>76.9</v>
      </c>
      <c r="I219" s="8">
        <v>78.34</v>
      </c>
      <c r="J219" s="17">
        <v>44436</v>
      </c>
    </row>
    <row r="220" ht="20" customHeight="1" spans="1:10">
      <c r="A220" s="6">
        <v>17</v>
      </c>
      <c r="B220" s="7" t="str">
        <f t="shared" si="64"/>
        <v>006</v>
      </c>
      <c r="C220" s="7" t="str">
        <f>"王凯悦"</f>
        <v>王凯悦</v>
      </c>
      <c r="D220" s="7" t="str">
        <f>"20210062526"</f>
        <v>20210062526</v>
      </c>
      <c r="E220" s="7" t="str">
        <f>"25"</f>
        <v>25</v>
      </c>
      <c r="F220" s="7" t="str">
        <f>"26"</f>
        <v>26</v>
      </c>
      <c r="G220" s="8">
        <v>82.4</v>
      </c>
      <c r="H220" s="8">
        <v>76.3</v>
      </c>
      <c r="I220" s="8">
        <v>78.13</v>
      </c>
      <c r="J220" s="17">
        <v>44436</v>
      </c>
    </row>
    <row r="221" ht="20" customHeight="1" spans="1:10">
      <c r="A221" s="6">
        <v>18</v>
      </c>
      <c r="B221" s="9" t="s">
        <v>37</v>
      </c>
      <c r="C221" s="10" t="str">
        <f>"于欣悦"</f>
        <v>于欣悦</v>
      </c>
      <c r="D221" s="10" t="str">
        <f>"20210062518"</f>
        <v>20210062518</v>
      </c>
      <c r="E221" s="10" t="str">
        <f>"25"</f>
        <v>25</v>
      </c>
      <c r="F221" s="10" t="str">
        <f>"18"</f>
        <v>18</v>
      </c>
      <c r="G221" s="11">
        <v>79.7</v>
      </c>
      <c r="H221" s="11">
        <v>77</v>
      </c>
      <c r="I221" s="11">
        <v>77.81</v>
      </c>
      <c r="J221" s="17">
        <v>44436</v>
      </c>
    </row>
    <row r="222" ht="20" customHeight="1" spans="1:10">
      <c r="A222" s="6">
        <v>19</v>
      </c>
      <c r="B222" s="9" t="s">
        <v>38</v>
      </c>
      <c r="C222" s="10" t="str">
        <f>"杜婵婵"</f>
        <v>杜婵婵</v>
      </c>
      <c r="D222" s="10" t="str">
        <f>"20210062203"</f>
        <v>20210062203</v>
      </c>
      <c r="E222" s="10" t="str">
        <f>"22"</f>
        <v>22</v>
      </c>
      <c r="F222" s="10" t="str">
        <f>"03"</f>
        <v>03</v>
      </c>
      <c r="G222" s="11">
        <v>80.1</v>
      </c>
      <c r="H222" s="11">
        <v>75.6</v>
      </c>
      <c r="I222" s="11">
        <v>76.95</v>
      </c>
      <c r="J222" s="17">
        <v>44436</v>
      </c>
    </row>
    <row r="223" ht="20" customHeight="1" spans="1:10">
      <c r="A223" s="6">
        <v>20</v>
      </c>
      <c r="B223" s="16" t="s">
        <v>37</v>
      </c>
      <c r="C223" s="12" t="str">
        <f>"于圆圆"</f>
        <v>于圆圆</v>
      </c>
      <c r="D223" s="12" t="str">
        <f>"20210062501"</f>
        <v>20210062501</v>
      </c>
      <c r="E223" s="12" t="str">
        <f>"25"</f>
        <v>25</v>
      </c>
      <c r="F223" s="12" t="str">
        <f>"01"</f>
        <v>01</v>
      </c>
      <c r="G223" s="13">
        <v>79.6</v>
      </c>
      <c r="H223" s="13">
        <v>74.6</v>
      </c>
      <c r="I223" s="13">
        <v>76.1</v>
      </c>
      <c r="J223" s="17">
        <v>44436</v>
      </c>
    </row>
    <row r="224" ht="20" customHeight="1" spans="1:10">
      <c r="A224" s="6">
        <v>21</v>
      </c>
      <c r="B224" s="16" t="s">
        <v>37</v>
      </c>
      <c r="C224" s="12" t="str">
        <f>"李晓娣"</f>
        <v>李晓娣</v>
      </c>
      <c r="D224" s="12" t="str">
        <f>"20210062420"</f>
        <v>20210062420</v>
      </c>
      <c r="E224" s="12" t="str">
        <f t="shared" ref="E224" si="69">"24"</f>
        <v>24</v>
      </c>
      <c r="F224" s="12" t="str">
        <f>"20"</f>
        <v>20</v>
      </c>
      <c r="G224" s="13">
        <v>78.5</v>
      </c>
      <c r="H224" s="13">
        <v>72.8</v>
      </c>
      <c r="I224" s="13">
        <v>74.51</v>
      </c>
      <c r="J224" s="17">
        <v>44436</v>
      </c>
    </row>
    <row r="225" ht="20" customHeight="1" spans="1:10">
      <c r="A225" s="14" t="s">
        <v>39</v>
      </c>
      <c r="B225" s="15"/>
      <c r="C225" s="15"/>
      <c r="D225" s="15"/>
      <c r="E225" s="15"/>
      <c r="F225" s="15"/>
      <c r="G225" s="15"/>
      <c r="H225" s="15"/>
      <c r="I225" s="15"/>
      <c r="J225" s="18"/>
    </row>
    <row r="226" ht="20" customHeight="1" spans="1:10">
      <c r="A226" s="4" t="s">
        <v>2</v>
      </c>
      <c r="B226" s="5" t="s">
        <v>3</v>
      </c>
      <c r="C226" s="4" t="s">
        <v>4</v>
      </c>
      <c r="D226" s="4" t="s">
        <v>5</v>
      </c>
      <c r="E226" s="4" t="s">
        <v>6</v>
      </c>
      <c r="F226" s="4" t="s">
        <v>7</v>
      </c>
      <c r="G226" s="4" t="s">
        <v>8</v>
      </c>
      <c r="H226" s="4" t="s">
        <v>9</v>
      </c>
      <c r="I226" s="4" t="s">
        <v>10</v>
      </c>
      <c r="J226" s="4" t="s">
        <v>11</v>
      </c>
    </row>
    <row r="227" ht="20" customHeight="1" spans="1:10">
      <c r="A227" s="6">
        <v>1</v>
      </c>
      <c r="B227" s="7" t="str">
        <f t="shared" ref="B227:B241" si="70">"007"</f>
        <v>007</v>
      </c>
      <c r="C227" s="7" t="str">
        <f>"高苗苗"</f>
        <v>高苗苗</v>
      </c>
      <c r="D227" s="7" t="str">
        <f>"20210072909"</f>
        <v>20210072909</v>
      </c>
      <c r="E227" s="7" t="str">
        <f>"29"</f>
        <v>29</v>
      </c>
      <c r="F227" s="7" t="str">
        <f t="shared" ref="F227" si="71">"09"</f>
        <v>09</v>
      </c>
      <c r="G227" s="8">
        <v>88.5</v>
      </c>
      <c r="H227" s="8">
        <v>85.2</v>
      </c>
      <c r="I227" s="8">
        <v>86.19</v>
      </c>
      <c r="J227" s="17">
        <v>44436</v>
      </c>
    </row>
    <row r="228" ht="20" customHeight="1" spans="1:10">
      <c r="A228" s="6">
        <v>2</v>
      </c>
      <c r="B228" s="7" t="str">
        <f t="shared" si="70"/>
        <v>007</v>
      </c>
      <c r="C228" s="7" t="str">
        <f>"张停停"</f>
        <v>张停停</v>
      </c>
      <c r="D228" s="7" t="str">
        <f>"20210072927"</f>
        <v>20210072927</v>
      </c>
      <c r="E228" s="7" t="str">
        <f>"29"</f>
        <v>29</v>
      </c>
      <c r="F228" s="7" t="str">
        <f>"27"</f>
        <v>27</v>
      </c>
      <c r="G228" s="8">
        <v>87.4</v>
      </c>
      <c r="H228" s="8">
        <v>83.7</v>
      </c>
      <c r="I228" s="8">
        <v>84.81</v>
      </c>
      <c r="J228" s="17">
        <v>44436</v>
      </c>
    </row>
    <row r="229" ht="20" customHeight="1" spans="1:10">
      <c r="A229" s="6">
        <v>3</v>
      </c>
      <c r="B229" s="7" t="str">
        <f t="shared" si="70"/>
        <v>007</v>
      </c>
      <c r="C229" s="7" t="str">
        <f>"林彩如"</f>
        <v>林彩如</v>
      </c>
      <c r="D229" s="7" t="str">
        <f>"20210072630"</f>
        <v>20210072630</v>
      </c>
      <c r="E229" s="7" t="str">
        <f>"26"</f>
        <v>26</v>
      </c>
      <c r="F229" s="7" t="str">
        <f>"30"</f>
        <v>30</v>
      </c>
      <c r="G229" s="8">
        <v>87.3</v>
      </c>
      <c r="H229" s="8">
        <v>80</v>
      </c>
      <c r="I229" s="8">
        <v>82.19</v>
      </c>
      <c r="J229" s="17">
        <v>44436</v>
      </c>
    </row>
    <row r="230" ht="20" customHeight="1" spans="1:10">
      <c r="A230" s="6">
        <v>4</v>
      </c>
      <c r="B230" s="7" t="str">
        <f t="shared" si="70"/>
        <v>007</v>
      </c>
      <c r="C230" s="7" t="str">
        <f>"杨玉"</f>
        <v>杨玉</v>
      </c>
      <c r="D230" s="7" t="str">
        <f>"20210072712"</f>
        <v>20210072712</v>
      </c>
      <c r="E230" s="7" t="str">
        <f>"27"</f>
        <v>27</v>
      </c>
      <c r="F230" s="7" t="str">
        <f>"12"</f>
        <v>12</v>
      </c>
      <c r="G230" s="8">
        <v>84.1</v>
      </c>
      <c r="H230" s="8">
        <v>80.9</v>
      </c>
      <c r="I230" s="8">
        <v>81.86</v>
      </c>
      <c r="J230" s="17">
        <v>44436</v>
      </c>
    </row>
    <row r="231" ht="20" customHeight="1" spans="1:10">
      <c r="A231" s="6">
        <v>5</v>
      </c>
      <c r="B231" s="7" t="str">
        <f t="shared" si="70"/>
        <v>007</v>
      </c>
      <c r="C231" s="7" t="str">
        <f>"王天娇"</f>
        <v>王天娇</v>
      </c>
      <c r="D231" s="7" t="str">
        <f>"20210073004"</f>
        <v>20210073004</v>
      </c>
      <c r="E231" s="7" t="str">
        <f>"30"</f>
        <v>30</v>
      </c>
      <c r="F231" s="7" t="str">
        <f>"04"</f>
        <v>04</v>
      </c>
      <c r="G231" s="8">
        <v>81.3</v>
      </c>
      <c r="H231" s="8">
        <v>81.2</v>
      </c>
      <c r="I231" s="8">
        <v>81.23</v>
      </c>
      <c r="J231" s="17">
        <v>44436</v>
      </c>
    </row>
    <row r="232" ht="20" customHeight="1" spans="1:10">
      <c r="A232" s="6">
        <v>6</v>
      </c>
      <c r="B232" s="7" t="str">
        <f t="shared" si="70"/>
        <v>007</v>
      </c>
      <c r="C232" s="7" t="str">
        <f>"王雨云"</f>
        <v>王雨云</v>
      </c>
      <c r="D232" s="7" t="str">
        <f>"20210072726"</f>
        <v>20210072726</v>
      </c>
      <c r="E232" s="7" t="str">
        <f>"27"</f>
        <v>27</v>
      </c>
      <c r="F232" s="7" t="str">
        <f t="shared" ref="F232:F234" si="72">"26"</f>
        <v>26</v>
      </c>
      <c r="G232" s="8">
        <v>88.1</v>
      </c>
      <c r="H232" s="8">
        <v>77.9</v>
      </c>
      <c r="I232" s="8">
        <v>80.96</v>
      </c>
      <c r="J232" s="17">
        <v>44436</v>
      </c>
    </row>
    <row r="233" ht="20" customHeight="1" spans="1:10">
      <c r="A233" s="6">
        <v>7</v>
      </c>
      <c r="B233" s="7" t="str">
        <f t="shared" si="70"/>
        <v>007</v>
      </c>
      <c r="C233" s="7" t="str">
        <f>"和梦雅"</f>
        <v>和梦雅</v>
      </c>
      <c r="D233" s="7" t="str">
        <f>"20210072626"</f>
        <v>20210072626</v>
      </c>
      <c r="E233" s="7" t="str">
        <f t="shared" ref="E233:E237" si="73">"26"</f>
        <v>26</v>
      </c>
      <c r="F233" s="7" t="str">
        <f t="shared" si="72"/>
        <v>26</v>
      </c>
      <c r="G233" s="8">
        <v>87.6</v>
      </c>
      <c r="H233" s="8">
        <v>78</v>
      </c>
      <c r="I233" s="8">
        <v>80.88</v>
      </c>
      <c r="J233" s="17">
        <v>44436</v>
      </c>
    </row>
    <row r="234" ht="20" customHeight="1" spans="1:10">
      <c r="A234" s="6">
        <v>8</v>
      </c>
      <c r="B234" s="7" t="str">
        <f t="shared" si="70"/>
        <v>007</v>
      </c>
      <c r="C234" s="7" t="str">
        <f>"朱苗苗"</f>
        <v>朱苗苗</v>
      </c>
      <c r="D234" s="7" t="str">
        <f>"20210072826"</f>
        <v>20210072826</v>
      </c>
      <c r="E234" s="7" t="str">
        <f t="shared" ref="E234:E236" si="74">"28"</f>
        <v>28</v>
      </c>
      <c r="F234" s="7" t="str">
        <f t="shared" si="72"/>
        <v>26</v>
      </c>
      <c r="G234" s="8">
        <v>92.5</v>
      </c>
      <c r="H234" s="8">
        <v>75.5</v>
      </c>
      <c r="I234" s="8">
        <v>80.6</v>
      </c>
      <c r="J234" s="17">
        <v>44436</v>
      </c>
    </row>
    <row r="235" ht="20" customHeight="1" spans="1:10">
      <c r="A235" s="6">
        <v>9</v>
      </c>
      <c r="B235" s="7" t="str">
        <f t="shared" si="70"/>
        <v>007</v>
      </c>
      <c r="C235" s="7" t="str">
        <f>"丁蕊蕊"</f>
        <v>丁蕊蕊</v>
      </c>
      <c r="D235" s="7" t="str">
        <f>"20210072617"</f>
        <v>20210072617</v>
      </c>
      <c r="E235" s="7" t="str">
        <f t="shared" si="73"/>
        <v>26</v>
      </c>
      <c r="F235" s="7" t="str">
        <f>"17"</f>
        <v>17</v>
      </c>
      <c r="G235" s="8">
        <v>84.2</v>
      </c>
      <c r="H235" s="8">
        <v>78.4</v>
      </c>
      <c r="I235" s="8">
        <v>80.14</v>
      </c>
      <c r="J235" s="17">
        <v>44436</v>
      </c>
    </row>
    <row r="236" ht="20" customHeight="1" spans="1:10">
      <c r="A236" s="6">
        <v>10</v>
      </c>
      <c r="B236" s="7" t="str">
        <f t="shared" si="70"/>
        <v>007</v>
      </c>
      <c r="C236" s="7" t="str">
        <f>"武明侠"</f>
        <v>武明侠</v>
      </c>
      <c r="D236" s="7" t="str">
        <f>"20210072813"</f>
        <v>20210072813</v>
      </c>
      <c r="E236" s="7" t="str">
        <f t="shared" si="74"/>
        <v>28</v>
      </c>
      <c r="F236" s="7" t="str">
        <f>"13"</f>
        <v>13</v>
      </c>
      <c r="G236" s="8">
        <v>83.1</v>
      </c>
      <c r="H236" s="8">
        <v>78.8</v>
      </c>
      <c r="I236" s="8">
        <v>80.09</v>
      </c>
      <c r="J236" s="17">
        <v>44436</v>
      </c>
    </row>
    <row r="237" ht="20" customHeight="1" spans="1:10">
      <c r="A237" s="6">
        <v>11</v>
      </c>
      <c r="B237" s="7" t="str">
        <f t="shared" si="70"/>
        <v>007</v>
      </c>
      <c r="C237" s="7" t="str">
        <f>"张少文"</f>
        <v>张少文</v>
      </c>
      <c r="D237" s="7" t="str">
        <f>"20210072615"</f>
        <v>20210072615</v>
      </c>
      <c r="E237" s="7" t="str">
        <f t="shared" si="73"/>
        <v>26</v>
      </c>
      <c r="F237" s="7" t="str">
        <f>"15"</f>
        <v>15</v>
      </c>
      <c r="G237" s="8">
        <v>82.5</v>
      </c>
      <c r="H237" s="8">
        <v>78.5</v>
      </c>
      <c r="I237" s="8">
        <v>79.7</v>
      </c>
      <c r="J237" s="17">
        <v>44436</v>
      </c>
    </row>
    <row r="238" ht="20" customHeight="1" spans="1:10">
      <c r="A238" s="6">
        <v>12</v>
      </c>
      <c r="B238" s="7" t="str">
        <f t="shared" si="70"/>
        <v>007</v>
      </c>
      <c r="C238" s="7" t="str">
        <f>"丁雪情"</f>
        <v>丁雪情</v>
      </c>
      <c r="D238" s="7" t="str">
        <f>"20210073005"</f>
        <v>20210073005</v>
      </c>
      <c r="E238" s="7" t="str">
        <f>"30"</f>
        <v>30</v>
      </c>
      <c r="F238" s="7" t="str">
        <f>"05"</f>
        <v>05</v>
      </c>
      <c r="G238" s="8">
        <v>77.5</v>
      </c>
      <c r="H238" s="8">
        <v>79.8</v>
      </c>
      <c r="I238" s="8">
        <v>79.11</v>
      </c>
      <c r="J238" s="17">
        <v>44436</v>
      </c>
    </row>
    <row r="239" ht="20" customHeight="1" spans="1:10">
      <c r="A239" s="6">
        <v>13</v>
      </c>
      <c r="B239" s="7" t="str">
        <f t="shared" si="70"/>
        <v>007</v>
      </c>
      <c r="C239" s="7" t="str">
        <f>"陆欢"</f>
        <v>陆欢</v>
      </c>
      <c r="D239" s="7" t="str">
        <f>"20210072912"</f>
        <v>20210072912</v>
      </c>
      <c r="E239" s="7" t="str">
        <f>"29"</f>
        <v>29</v>
      </c>
      <c r="F239" s="7" t="str">
        <f>"12"</f>
        <v>12</v>
      </c>
      <c r="G239" s="8">
        <v>79.9</v>
      </c>
      <c r="H239" s="8">
        <v>77.5</v>
      </c>
      <c r="I239" s="8">
        <v>78.22</v>
      </c>
      <c r="J239" s="17">
        <v>44436</v>
      </c>
    </row>
    <row r="240" ht="20" customHeight="1" spans="1:10">
      <c r="A240" s="6">
        <v>14</v>
      </c>
      <c r="B240" s="7" t="str">
        <f t="shared" si="70"/>
        <v>007</v>
      </c>
      <c r="C240" s="7" t="str">
        <f>"李娟娟"</f>
        <v>李娟娟</v>
      </c>
      <c r="D240" s="7" t="str">
        <f>"20210072620"</f>
        <v>20210072620</v>
      </c>
      <c r="E240" s="7" t="str">
        <f t="shared" ref="E240" si="75">"26"</f>
        <v>26</v>
      </c>
      <c r="F240" s="7" t="str">
        <f>"20"</f>
        <v>20</v>
      </c>
      <c r="G240" s="8">
        <v>87.5</v>
      </c>
      <c r="H240" s="8">
        <v>74.2</v>
      </c>
      <c r="I240" s="8">
        <v>78.19</v>
      </c>
      <c r="J240" s="17">
        <v>44436</v>
      </c>
    </row>
    <row r="241" ht="20" customHeight="1" spans="1:10">
      <c r="A241" s="6">
        <v>15</v>
      </c>
      <c r="B241" s="7" t="str">
        <f t="shared" si="70"/>
        <v>007</v>
      </c>
      <c r="C241" s="7" t="str">
        <f>"常静茹"</f>
        <v>常静茹</v>
      </c>
      <c r="D241" s="7" t="str">
        <f>"20210072903"</f>
        <v>20210072903</v>
      </c>
      <c r="E241" s="7" t="str">
        <f>"29"</f>
        <v>29</v>
      </c>
      <c r="F241" s="7" t="str">
        <f>"03"</f>
        <v>03</v>
      </c>
      <c r="G241" s="8">
        <v>79.7</v>
      </c>
      <c r="H241" s="8">
        <v>76.3</v>
      </c>
      <c r="I241" s="8">
        <v>77.32</v>
      </c>
      <c r="J241" s="17">
        <v>44436</v>
      </c>
    </row>
    <row r="242" ht="20" customHeight="1" spans="1:10">
      <c r="A242" s="6">
        <v>16</v>
      </c>
      <c r="B242" s="9" t="s">
        <v>40</v>
      </c>
      <c r="C242" s="10" t="str">
        <f>"高敏"</f>
        <v>高敏</v>
      </c>
      <c r="D242" s="10" t="str">
        <f>"20210072628"</f>
        <v>20210072628</v>
      </c>
      <c r="E242" s="10" t="str">
        <f t="shared" ref="E242:E244" si="76">"26"</f>
        <v>26</v>
      </c>
      <c r="F242" s="10" t="str">
        <f>"28"</f>
        <v>28</v>
      </c>
      <c r="G242" s="11">
        <v>76.9</v>
      </c>
      <c r="H242" s="11">
        <v>77.4</v>
      </c>
      <c r="I242" s="11">
        <v>77.25</v>
      </c>
      <c r="J242" s="17">
        <v>44436</v>
      </c>
    </row>
    <row r="243" ht="20" customHeight="1" spans="1:10">
      <c r="A243" s="6">
        <v>17</v>
      </c>
      <c r="B243" s="9" t="s">
        <v>40</v>
      </c>
      <c r="C243" s="10" t="str">
        <f>"陈慧慧"</f>
        <v>陈慧慧</v>
      </c>
      <c r="D243" s="10" t="str">
        <f>"20210072605"</f>
        <v>20210072605</v>
      </c>
      <c r="E243" s="10" t="str">
        <f t="shared" si="76"/>
        <v>26</v>
      </c>
      <c r="F243" s="10" t="str">
        <f>"05"</f>
        <v>05</v>
      </c>
      <c r="G243" s="11">
        <v>79.4</v>
      </c>
      <c r="H243" s="11">
        <v>75.6</v>
      </c>
      <c r="I243" s="11">
        <v>76.74</v>
      </c>
      <c r="J243" s="17">
        <v>44436</v>
      </c>
    </row>
    <row r="244" ht="20" customHeight="1" spans="1:10">
      <c r="A244" s="6">
        <v>18</v>
      </c>
      <c r="B244" s="9" t="s">
        <v>41</v>
      </c>
      <c r="C244" s="10" t="str">
        <f>"王倩倩"</f>
        <v>王倩倩</v>
      </c>
      <c r="D244" s="10" t="str">
        <f>"20210072623"</f>
        <v>20210072623</v>
      </c>
      <c r="E244" s="10" t="str">
        <f t="shared" si="76"/>
        <v>26</v>
      </c>
      <c r="F244" s="10" t="str">
        <f>"23"</f>
        <v>23</v>
      </c>
      <c r="G244" s="11">
        <v>79.6</v>
      </c>
      <c r="H244" s="11">
        <v>75.1</v>
      </c>
      <c r="I244" s="11">
        <v>76.45</v>
      </c>
      <c r="J244" s="17">
        <v>44436</v>
      </c>
    </row>
    <row r="245" ht="20" customHeight="1" spans="1:10">
      <c r="A245" s="6">
        <v>19</v>
      </c>
      <c r="B245" s="9" t="s">
        <v>41</v>
      </c>
      <c r="C245" s="10" t="str">
        <f>"高慧"</f>
        <v>高慧</v>
      </c>
      <c r="D245" s="10" t="str">
        <f>"20210072906"</f>
        <v>20210072906</v>
      </c>
      <c r="E245" s="10" t="str">
        <f t="shared" ref="E245:E248" si="77">"29"</f>
        <v>29</v>
      </c>
      <c r="F245" s="10" t="str">
        <f>"06"</f>
        <v>06</v>
      </c>
      <c r="G245" s="11">
        <v>79</v>
      </c>
      <c r="H245" s="11">
        <v>74.1</v>
      </c>
      <c r="I245" s="11">
        <v>75.57</v>
      </c>
      <c r="J245" s="17">
        <v>44436</v>
      </c>
    </row>
    <row r="246" ht="20" customHeight="1" spans="1:10">
      <c r="A246" s="6">
        <v>20</v>
      </c>
      <c r="B246" s="9" t="s">
        <v>41</v>
      </c>
      <c r="C246" s="10" t="str">
        <f>"王培培"</f>
        <v>王培培</v>
      </c>
      <c r="D246" s="10" t="str">
        <f>"20210072918"</f>
        <v>20210072918</v>
      </c>
      <c r="E246" s="10" t="str">
        <f t="shared" si="77"/>
        <v>29</v>
      </c>
      <c r="F246" s="10" t="str">
        <f>"18"</f>
        <v>18</v>
      </c>
      <c r="G246" s="11">
        <v>80.5</v>
      </c>
      <c r="H246" s="11">
        <v>73.4</v>
      </c>
      <c r="I246" s="11">
        <v>75.53</v>
      </c>
      <c r="J246" s="17">
        <v>44436</v>
      </c>
    </row>
    <row r="247" ht="20" customHeight="1" spans="1:10">
      <c r="A247" s="6">
        <v>21</v>
      </c>
      <c r="B247" s="9" t="s">
        <v>41</v>
      </c>
      <c r="C247" s="10" t="str">
        <f>"袁贝贝"</f>
        <v>袁贝贝</v>
      </c>
      <c r="D247" s="10" t="str">
        <f>"20210072930"</f>
        <v>20210072930</v>
      </c>
      <c r="E247" s="10" t="str">
        <f t="shared" si="77"/>
        <v>29</v>
      </c>
      <c r="F247" s="10" t="str">
        <f>"30"</f>
        <v>30</v>
      </c>
      <c r="G247" s="11">
        <v>73.5</v>
      </c>
      <c r="H247" s="11">
        <v>76.2</v>
      </c>
      <c r="I247" s="11">
        <v>75.39</v>
      </c>
      <c r="J247" s="17">
        <v>44436</v>
      </c>
    </row>
    <row r="248" ht="20" customHeight="1" spans="1:10">
      <c r="A248" s="6">
        <v>22</v>
      </c>
      <c r="B248" s="9" t="s">
        <v>41</v>
      </c>
      <c r="C248" s="10" t="str">
        <f>"杨梅"</f>
        <v>杨梅</v>
      </c>
      <c r="D248" s="10" t="str">
        <f>"20210072925"</f>
        <v>20210072925</v>
      </c>
      <c r="E248" s="10" t="str">
        <f t="shared" si="77"/>
        <v>29</v>
      </c>
      <c r="F248" s="10" t="str">
        <f>"25"</f>
        <v>25</v>
      </c>
      <c r="G248" s="11">
        <v>80.8</v>
      </c>
      <c r="H248" s="11">
        <v>72.6</v>
      </c>
      <c r="I248" s="11">
        <v>75.06</v>
      </c>
      <c r="J248" s="17">
        <v>44436</v>
      </c>
    </row>
    <row r="249" ht="20" customHeight="1" spans="1:10">
      <c r="A249" s="6">
        <v>23</v>
      </c>
      <c r="B249" s="16" t="s">
        <v>40</v>
      </c>
      <c r="C249" s="12" t="str">
        <f>"高晨"</f>
        <v>高晨</v>
      </c>
      <c r="D249" s="12" t="str">
        <f>"20210072622"</f>
        <v>20210072622</v>
      </c>
      <c r="E249" s="12" t="str">
        <f>"26"</f>
        <v>26</v>
      </c>
      <c r="F249" s="12" t="str">
        <f>"22"</f>
        <v>22</v>
      </c>
      <c r="G249" s="13">
        <v>78.9</v>
      </c>
      <c r="H249" s="13">
        <v>73.4</v>
      </c>
      <c r="I249" s="13">
        <v>75.05</v>
      </c>
      <c r="J249" s="17">
        <v>44436</v>
      </c>
    </row>
    <row r="250" ht="20" customHeight="1" spans="1:10">
      <c r="A250" s="14" t="s">
        <v>42</v>
      </c>
      <c r="B250" s="15"/>
      <c r="C250" s="15"/>
      <c r="D250" s="15"/>
      <c r="E250" s="15"/>
      <c r="F250" s="15"/>
      <c r="G250" s="15"/>
      <c r="H250" s="15"/>
      <c r="I250" s="15"/>
      <c r="J250" s="18"/>
    </row>
    <row r="251" ht="20" customHeight="1" spans="1:10">
      <c r="A251" s="4" t="s">
        <v>2</v>
      </c>
      <c r="B251" s="5" t="s">
        <v>3</v>
      </c>
      <c r="C251" s="4" t="s">
        <v>4</v>
      </c>
      <c r="D251" s="4" t="s">
        <v>5</v>
      </c>
      <c r="E251" s="4" t="s">
        <v>6</v>
      </c>
      <c r="F251" s="4" t="s">
        <v>7</v>
      </c>
      <c r="G251" s="4" t="s">
        <v>8</v>
      </c>
      <c r="H251" s="4" t="s">
        <v>9</v>
      </c>
      <c r="I251" s="4" t="s">
        <v>10</v>
      </c>
      <c r="J251" s="4" t="s">
        <v>11</v>
      </c>
    </row>
    <row r="252" ht="20" customHeight="1" spans="1:10">
      <c r="A252" s="6">
        <v>1</v>
      </c>
      <c r="B252" s="7" t="str">
        <f t="shared" ref="B252:B270" si="78">"012"</f>
        <v>012</v>
      </c>
      <c r="C252" s="7" t="str">
        <f>"张新雨"</f>
        <v>张新雨</v>
      </c>
      <c r="D252" s="7" t="str">
        <f>"20210124412"</f>
        <v>20210124412</v>
      </c>
      <c r="E252" s="7" t="str">
        <f>"44"</f>
        <v>44</v>
      </c>
      <c r="F252" s="7" t="str">
        <f>"12"</f>
        <v>12</v>
      </c>
      <c r="G252" s="8">
        <v>82.5</v>
      </c>
      <c r="H252" s="8">
        <v>86</v>
      </c>
      <c r="I252" s="8">
        <v>84.95</v>
      </c>
      <c r="J252" s="17">
        <v>44436</v>
      </c>
    </row>
    <row r="253" ht="20" customHeight="1" spans="1:10">
      <c r="A253" s="6">
        <v>2</v>
      </c>
      <c r="B253" s="7" t="str">
        <f t="shared" si="78"/>
        <v>012</v>
      </c>
      <c r="C253" s="7" t="str">
        <f>"刘雪停"</f>
        <v>刘雪停</v>
      </c>
      <c r="D253" s="7" t="str">
        <f>"20210124228"</f>
        <v>20210124228</v>
      </c>
      <c r="E253" s="7" t="str">
        <f t="shared" ref="E253:E258" si="79">"42"</f>
        <v>42</v>
      </c>
      <c r="F253" s="7" t="str">
        <f>"28"</f>
        <v>28</v>
      </c>
      <c r="G253" s="8">
        <v>84.9</v>
      </c>
      <c r="H253" s="8">
        <v>83.8</v>
      </c>
      <c r="I253" s="8">
        <v>84.13</v>
      </c>
      <c r="J253" s="17">
        <v>44436</v>
      </c>
    </row>
    <row r="254" ht="20" customHeight="1" spans="1:10">
      <c r="A254" s="6">
        <v>3</v>
      </c>
      <c r="B254" s="7" t="str">
        <f t="shared" si="78"/>
        <v>012</v>
      </c>
      <c r="C254" s="7" t="str">
        <f>"郑若晨"</f>
        <v>郑若晨</v>
      </c>
      <c r="D254" s="7" t="str">
        <f>"20210124410"</f>
        <v>20210124410</v>
      </c>
      <c r="E254" s="7" t="str">
        <f>"44"</f>
        <v>44</v>
      </c>
      <c r="F254" s="7" t="str">
        <f>"10"</f>
        <v>10</v>
      </c>
      <c r="G254" s="8">
        <v>84.7</v>
      </c>
      <c r="H254" s="8">
        <v>83.2</v>
      </c>
      <c r="I254" s="8">
        <v>83.65</v>
      </c>
      <c r="J254" s="17">
        <v>44436</v>
      </c>
    </row>
    <row r="255" ht="20" customHeight="1" spans="1:10">
      <c r="A255" s="6">
        <v>4</v>
      </c>
      <c r="B255" s="7" t="str">
        <f t="shared" si="78"/>
        <v>012</v>
      </c>
      <c r="C255" s="7" t="str">
        <f>"吕娜"</f>
        <v>吕娜</v>
      </c>
      <c r="D255" s="7" t="str">
        <f>"20210124317"</f>
        <v>20210124317</v>
      </c>
      <c r="E255" s="7" t="str">
        <f>"43"</f>
        <v>43</v>
      </c>
      <c r="F255" s="7" t="str">
        <f>"17"</f>
        <v>17</v>
      </c>
      <c r="G255" s="8">
        <v>82.4</v>
      </c>
      <c r="H255" s="8">
        <v>81.9</v>
      </c>
      <c r="I255" s="8">
        <v>82.05</v>
      </c>
      <c r="J255" s="17">
        <v>44436</v>
      </c>
    </row>
    <row r="256" ht="20" customHeight="1" spans="1:10">
      <c r="A256" s="6">
        <v>5</v>
      </c>
      <c r="B256" s="7" t="str">
        <f t="shared" si="78"/>
        <v>012</v>
      </c>
      <c r="C256" s="7" t="str">
        <f>"冯秀秀"</f>
        <v>冯秀秀</v>
      </c>
      <c r="D256" s="7" t="str">
        <f>"20210124207"</f>
        <v>20210124207</v>
      </c>
      <c r="E256" s="7" t="str">
        <f t="shared" si="79"/>
        <v>42</v>
      </c>
      <c r="F256" s="7" t="str">
        <f>"07"</f>
        <v>07</v>
      </c>
      <c r="G256" s="8">
        <v>83.9</v>
      </c>
      <c r="H256" s="8">
        <v>80.2</v>
      </c>
      <c r="I256" s="8">
        <v>81.31</v>
      </c>
      <c r="J256" s="17">
        <v>44436</v>
      </c>
    </row>
    <row r="257" ht="20" customHeight="1" spans="1:10">
      <c r="A257" s="6">
        <v>6</v>
      </c>
      <c r="B257" s="7" t="str">
        <f t="shared" si="78"/>
        <v>012</v>
      </c>
      <c r="C257" s="7" t="str">
        <f>"范星荣"</f>
        <v>范星荣</v>
      </c>
      <c r="D257" s="7" t="str">
        <f>"20210124226"</f>
        <v>20210124226</v>
      </c>
      <c r="E257" s="7" t="str">
        <f t="shared" si="79"/>
        <v>42</v>
      </c>
      <c r="F257" s="7" t="str">
        <f>"26"</f>
        <v>26</v>
      </c>
      <c r="G257" s="8">
        <v>87.4</v>
      </c>
      <c r="H257" s="8">
        <v>77.8</v>
      </c>
      <c r="I257" s="8">
        <v>80.68</v>
      </c>
      <c r="J257" s="17">
        <v>44436</v>
      </c>
    </row>
    <row r="258" ht="20" customHeight="1" spans="1:10">
      <c r="A258" s="6">
        <v>7</v>
      </c>
      <c r="B258" s="7" t="str">
        <f t="shared" si="78"/>
        <v>012</v>
      </c>
      <c r="C258" s="7" t="str">
        <f>"魏妮"</f>
        <v>魏妮</v>
      </c>
      <c r="D258" s="7" t="str">
        <f>"20210124221"</f>
        <v>20210124221</v>
      </c>
      <c r="E258" s="7" t="str">
        <f t="shared" si="79"/>
        <v>42</v>
      </c>
      <c r="F258" s="7" t="str">
        <f>"21"</f>
        <v>21</v>
      </c>
      <c r="G258" s="8">
        <v>84.5</v>
      </c>
      <c r="H258" s="8">
        <v>78.4</v>
      </c>
      <c r="I258" s="8">
        <v>80.23</v>
      </c>
      <c r="J258" s="17">
        <v>44436</v>
      </c>
    </row>
    <row r="259" ht="20" customHeight="1" spans="1:10">
      <c r="A259" s="6">
        <v>8</v>
      </c>
      <c r="B259" s="7" t="str">
        <f t="shared" si="78"/>
        <v>012</v>
      </c>
      <c r="C259" s="7" t="str">
        <f>"刘亚晗"</f>
        <v>刘亚晗</v>
      </c>
      <c r="D259" s="7" t="str">
        <f>"20210124104"</f>
        <v>20210124104</v>
      </c>
      <c r="E259" s="7" t="str">
        <f t="shared" ref="E259:E262" si="80">"41"</f>
        <v>41</v>
      </c>
      <c r="F259" s="7" t="str">
        <f>"04"</f>
        <v>04</v>
      </c>
      <c r="G259" s="8">
        <v>85.6</v>
      </c>
      <c r="H259" s="8">
        <v>77.8</v>
      </c>
      <c r="I259" s="8">
        <v>80.14</v>
      </c>
      <c r="J259" s="17">
        <v>44436</v>
      </c>
    </row>
    <row r="260" ht="20" customHeight="1" spans="1:10">
      <c r="A260" s="6">
        <v>9</v>
      </c>
      <c r="B260" s="7" t="str">
        <f t="shared" si="78"/>
        <v>012</v>
      </c>
      <c r="C260" s="7" t="str">
        <f>"王丹丹"</f>
        <v>王丹丹</v>
      </c>
      <c r="D260" s="7" t="str">
        <f>"20210124304"</f>
        <v>20210124304</v>
      </c>
      <c r="E260" s="7" t="str">
        <f>"43"</f>
        <v>43</v>
      </c>
      <c r="F260" s="7" t="str">
        <f>"04"</f>
        <v>04</v>
      </c>
      <c r="G260" s="8">
        <v>86.7</v>
      </c>
      <c r="H260" s="8">
        <v>77.1</v>
      </c>
      <c r="I260" s="8">
        <v>79.98</v>
      </c>
      <c r="J260" s="17">
        <v>44436</v>
      </c>
    </row>
    <row r="261" ht="20" customHeight="1" spans="1:10">
      <c r="A261" s="6">
        <v>10</v>
      </c>
      <c r="B261" s="7" t="str">
        <f t="shared" si="78"/>
        <v>012</v>
      </c>
      <c r="C261" s="7" t="str">
        <f>"张亚菲"</f>
        <v>张亚菲</v>
      </c>
      <c r="D261" s="7" t="str">
        <f>"20210124119"</f>
        <v>20210124119</v>
      </c>
      <c r="E261" s="7" t="str">
        <f t="shared" si="80"/>
        <v>41</v>
      </c>
      <c r="F261" s="7" t="str">
        <f>"19"</f>
        <v>19</v>
      </c>
      <c r="G261" s="8">
        <v>77.5</v>
      </c>
      <c r="H261" s="8">
        <v>80.9</v>
      </c>
      <c r="I261" s="8">
        <v>79.88</v>
      </c>
      <c r="J261" s="17">
        <v>44436</v>
      </c>
    </row>
    <row r="262" ht="20" customHeight="1" spans="1:10">
      <c r="A262" s="6">
        <v>11</v>
      </c>
      <c r="B262" s="7" t="str">
        <f t="shared" si="78"/>
        <v>012</v>
      </c>
      <c r="C262" s="7" t="str">
        <f>"沈金金"</f>
        <v>沈金金</v>
      </c>
      <c r="D262" s="7" t="str">
        <f>"20210124116"</f>
        <v>20210124116</v>
      </c>
      <c r="E262" s="7" t="str">
        <f t="shared" si="80"/>
        <v>41</v>
      </c>
      <c r="F262" s="7" t="str">
        <f>"16"</f>
        <v>16</v>
      </c>
      <c r="G262" s="8">
        <v>76.8</v>
      </c>
      <c r="H262" s="8">
        <v>80.9</v>
      </c>
      <c r="I262" s="8">
        <v>79.67</v>
      </c>
      <c r="J262" s="17">
        <v>44436</v>
      </c>
    </row>
    <row r="263" ht="20" customHeight="1" spans="1:10">
      <c r="A263" s="6">
        <v>12</v>
      </c>
      <c r="B263" s="7" t="str">
        <f t="shared" si="78"/>
        <v>012</v>
      </c>
      <c r="C263" s="7" t="str">
        <f>"吕倩倩"</f>
        <v>吕倩倩</v>
      </c>
      <c r="D263" s="7" t="str">
        <f>"20210124401"</f>
        <v>20210124401</v>
      </c>
      <c r="E263" s="7" t="str">
        <f>"44"</f>
        <v>44</v>
      </c>
      <c r="F263" s="7" t="str">
        <f>"01"</f>
        <v>01</v>
      </c>
      <c r="G263" s="8">
        <v>70</v>
      </c>
      <c r="H263" s="8">
        <v>83.6</v>
      </c>
      <c r="I263" s="8">
        <v>79.52</v>
      </c>
      <c r="J263" s="17">
        <v>44436</v>
      </c>
    </row>
    <row r="264" ht="20" customHeight="1" spans="1:10">
      <c r="A264" s="6">
        <v>13</v>
      </c>
      <c r="B264" s="7" t="str">
        <f t="shared" si="78"/>
        <v>012</v>
      </c>
      <c r="C264" s="7" t="str">
        <f>"刘叮叮"</f>
        <v>刘叮叮</v>
      </c>
      <c r="D264" s="7" t="str">
        <f>"20210124029"</f>
        <v>20210124029</v>
      </c>
      <c r="E264" s="7" t="str">
        <f>"40"</f>
        <v>40</v>
      </c>
      <c r="F264" s="7" t="str">
        <f>"29"</f>
        <v>29</v>
      </c>
      <c r="G264" s="8">
        <v>85.7</v>
      </c>
      <c r="H264" s="8">
        <v>76.3</v>
      </c>
      <c r="I264" s="8">
        <v>79.12</v>
      </c>
      <c r="J264" s="17">
        <v>44436</v>
      </c>
    </row>
    <row r="265" ht="20" customHeight="1" spans="1:10">
      <c r="A265" s="6">
        <v>14</v>
      </c>
      <c r="B265" s="7" t="str">
        <f t="shared" si="78"/>
        <v>012</v>
      </c>
      <c r="C265" s="7" t="str">
        <f>"蒋靖雯"</f>
        <v>蒋靖雯</v>
      </c>
      <c r="D265" s="7" t="str">
        <f>"20210124127"</f>
        <v>20210124127</v>
      </c>
      <c r="E265" s="7" t="str">
        <f>"41"</f>
        <v>41</v>
      </c>
      <c r="F265" s="7" t="str">
        <f>"27"</f>
        <v>27</v>
      </c>
      <c r="G265" s="8">
        <v>79.7</v>
      </c>
      <c r="H265" s="8">
        <v>78.8</v>
      </c>
      <c r="I265" s="8">
        <v>79.07</v>
      </c>
      <c r="J265" s="17">
        <v>44436</v>
      </c>
    </row>
    <row r="266" ht="20" customHeight="1" spans="1:10">
      <c r="A266" s="6">
        <v>15</v>
      </c>
      <c r="B266" s="7" t="str">
        <f t="shared" si="78"/>
        <v>012</v>
      </c>
      <c r="C266" s="7" t="str">
        <f>"管玉雯"</f>
        <v>管玉雯</v>
      </c>
      <c r="D266" s="7" t="str">
        <f>"20210124205"</f>
        <v>20210124205</v>
      </c>
      <c r="E266" s="7" t="str">
        <f>"42"</f>
        <v>42</v>
      </c>
      <c r="F266" s="7" t="str">
        <f>"05"</f>
        <v>05</v>
      </c>
      <c r="G266" s="8">
        <v>81</v>
      </c>
      <c r="H266" s="8">
        <v>76.6</v>
      </c>
      <c r="I266" s="8">
        <v>77.92</v>
      </c>
      <c r="J266" s="17">
        <v>44436</v>
      </c>
    </row>
    <row r="267" ht="20" customHeight="1" spans="1:10">
      <c r="A267" s="6">
        <v>16</v>
      </c>
      <c r="B267" s="7" t="str">
        <f t="shared" si="78"/>
        <v>012</v>
      </c>
      <c r="C267" s="7" t="str">
        <f>"张欣艳"</f>
        <v>张欣艳</v>
      </c>
      <c r="D267" s="7" t="str">
        <f>"20210124404"</f>
        <v>20210124404</v>
      </c>
      <c r="E267" s="7" t="str">
        <f t="shared" ref="E267:E269" si="81">"44"</f>
        <v>44</v>
      </c>
      <c r="F267" s="7" t="str">
        <f>"04"</f>
        <v>04</v>
      </c>
      <c r="G267" s="8">
        <v>79.3</v>
      </c>
      <c r="H267" s="8">
        <v>77.3</v>
      </c>
      <c r="I267" s="8">
        <v>77.9</v>
      </c>
      <c r="J267" s="17">
        <v>44436</v>
      </c>
    </row>
    <row r="268" ht="20" customHeight="1" spans="1:10">
      <c r="A268" s="6">
        <v>17</v>
      </c>
      <c r="B268" s="7" t="str">
        <f t="shared" si="78"/>
        <v>012</v>
      </c>
      <c r="C268" s="7" t="str">
        <f>"吕慧佺"</f>
        <v>吕慧佺</v>
      </c>
      <c r="D268" s="7" t="str">
        <f>"20210124211"</f>
        <v>20210124211</v>
      </c>
      <c r="E268" s="7" t="str">
        <f>"42"</f>
        <v>42</v>
      </c>
      <c r="F268" s="7" t="str">
        <f>"11"</f>
        <v>11</v>
      </c>
      <c r="G268" s="8">
        <v>77.4</v>
      </c>
      <c r="H268" s="8">
        <v>78.1</v>
      </c>
      <c r="I268" s="8">
        <v>77.89</v>
      </c>
      <c r="J268" s="17">
        <v>44436</v>
      </c>
    </row>
    <row r="269" ht="20" customHeight="1" spans="1:10">
      <c r="A269" s="6">
        <v>18</v>
      </c>
      <c r="B269" s="7" t="str">
        <f t="shared" si="78"/>
        <v>012</v>
      </c>
      <c r="C269" s="7" t="str">
        <f>"张悦"</f>
        <v>张悦</v>
      </c>
      <c r="D269" s="7" t="str">
        <f>"20210124409"</f>
        <v>20210124409</v>
      </c>
      <c r="E269" s="7" t="str">
        <f t="shared" si="81"/>
        <v>44</v>
      </c>
      <c r="F269" s="7" t="str">
        <f>"09"</f>
        <v>09</v>
      </c>
      <c r="G269" s="8">
        <v>77.8</v>
      </c>
      <c r="H269" s="8">
        <v>77.6</v>
      </c>
      <c r="I269" s="8">
        <v>77.66</v>
      </c>
      <c r="J269" s="17">
        <v>44436</v>
      </c>
    </row>
    <row r="270" ht="20" customHeight="1" spans="1:10">
      <c r="A270" s="6">
        <v>19</v>
      </c>
      <c r="B270" s="7" t="str">
        <f t="shared" si="78"/>
        <v>012</v>
      </c>
      <c r="C270" s="7" t="str">
        <f>"金冬梅"</f>
        <v>金冬梅</v>
      </c>
      <c r="D270" s="7" t="str">
        <f>"20210124023"</f>
        <v>20210124023</v>
      </c>
      <c r="E270" s="7" t="str">
        <f>"40"</f>
        <v>40</v>
      </c>
      <c r="F270" s="7" t="str">
        <f>"23"</f>
        <v>23</v>
      </c>
      <c r="G270" s="8">
        <v>74.5</v>
      </c>
      <c r="H270" s="8">
        <v>78.6</v>
      </c>
      <c r="I270" s="8">
        <v>77.37</v>
      </c>
      <c r="J270" s="17">
        <v>44436</v>
      </c>
    </row>
    <row r="271" ht="20" customHeight="1" spans="1:10">
      <c r="A271" s="6">
        <v>20</v>
      </c>
      <c r="B271" s="9" t="s">
        <v>43</v>
      </c>
      <c r="C271" s="10" t="str">
        <f>"薛陈晨"</f>
        <v>薛陈晨</v>
      </c>
      <c r="D271" s="10" t="str">
        <f>"20210124403"</f>
        <v>20210124403</v>
      </c>
      <c r="E271" s="10" t="str">
        <f t="shared" ref="E271" si="82">"44"</f>
        <v>44</v>
      </c>
      <c r="F271" s="10" t="str">
        <f>"03"</f>
        <v>03</v>
      </c>
      <c r="G271" s="11">
        <v>79</v>
      </c>
      <c r="H271" s="11">
        <v>76.4</v>
      </c>
      <c r="I271" s="11">
        <v>77.18</v>
      </c>
      <c r="J271" s="17">
        <v>44436</v>
      </c>
    </row>
    <row r="272" ht="20" customHeight="1" spans="1:10">
      <c r="A272" s="6">
        <v>21</v>
      </c>
      <c r="B272" s="9" t="s">
        <v>43</v>
      </c>
      <c r="C272" s="10" t="str">
        <f>"段艺雯"</f>
        <v>段艺雯</v>
      </c>
      <c r="D272" s="10" t="str">
        <f>"20210124022"</f>
        <v>20210124022</v>
      </c>
      <c r="E272" s="10" t="str">
        <f>"40"</f>
        <v>40</v>
      </c>
      <c r="F272" s="10" t="str">
        <f>"22"</f>
        <v>22</v>
      </c>
      <c r="G272" s="11">
        <v>75.9</v>
      </c>
      <c r="H272" s="11">
        <v>77.3</v>
      </c>
      <c r="I272" s="11">
        <v>76.88</v>
      </c>
      <c r="J272" s="17">
        <v>44436</v>
      </c>
    </row>
    <row r="273" ht="20" customHeight="1" spans="1:10">
      <c r="A273" s="6">
        <v>22</v>
      </c>
      <c r="B273" s="16" t="s">
        <v>43</v>
      </c>
      <c r="C273" s="12" t="str">
        <f>"赵秋香"</f>
        <v>赵秋香</v>
      </c>
      <c r="D273" s="12" t="str">
        <f>"20210124416"</f>
        <v>20210124416</v>
      </c>
      <c r="E273" s="12" t="str">
        <f>"44"</f>
        <v>44</v>
      </c>
      <c r="F273" s="12" t="str">
        <f>"16"</f>
        <v>16</v>
      </c>
      <c r="G273" s="13">
        <v>77.8</v>
      </c>
      <c r="H273" s="13">
        <v>75.8</v>
      </c>
      <c r="I273" s="13">
        <v>76.4</v>
      </c>
      <c r="J273" s="17">
        <v>44436</v>
      </c>
    </row>
    <row r="274" ht="20" customHeight="1" spans="1:10">
      <c r="A274" s="14" t="s">
        <v>44</v>
      </c>
      <c r="B274" s="15"/>
      <c r="C274" s="15"/>
      <c r="D274" s="15"/>
      <c r="E274" s="15"/>
      <c r="F274" s="15"/>
      <c r="G274" s="15"/>
      <c r="H274" s="15"/>
      <c r="I274" s="15"/>
      <c r="J274" s="18"/>
    </row>
    <row r="275" ht="20" customHeight="1" spans="1:10">
      <c r="A275" s="4" t="s">
        <v>2</v>
      </c>
      <c r="B275" s="5" t="s">
        <v>3</v>
      </c>
      <c r="C275" s="4" t="s">
        <v>4</v>
      </c>
      <c r="D275" s="4" t="s">
        <v>5</v>
      </c>
      <c r="E275" s="4" t="s">
        <v>6</v>
      </c>
      <c r="F275" s="4" t="s">
        <v>7</v>
      </c>
      <c r="G275" s="4" t="s">
        <v>8</v>
      </c>
      <c r="H275" s="4" t="s">
        <v>9</v>
      </c>
      <c r="I275" s="4" t="s">
        <v>10</v>
      </c>
      <c r="J275" s="4" t="s">
        <v>11</v>
      </c>
    </row>
    <row r="276" ht="20" customHeight="1" spans="1:10">
      <c r="A276" s="6">
        <v>1</v>
      </c>
      <c r="B276" s="7" t="str">
        <f t="shared" ref="B276:B291" si="83">"013"</f>
        <v>013</v>
      </c>
      <c r="C276" s="7" t="str">
        <f>"张雯"</f>
        <v>张雯</v>
      </c>
      <c r="D276" s="7" t="str">
        <f>"20210134725"</f>
        <v>20210134725</v>
      </c>
      <c r="E276" s="7" t="str">
        <f>"47"</f>
        <v>47</v>
      </c>
      <c r="F276" s="7" t="str">
        <f>"25"</f>
        <v>25</v>
      </c>
      <c r="G276" s="8">
        <v>79.5</v>
      </c>
      <c r="H276" s="8">
        <v>80.6</v>
      </c>
      <c r="I276" s="8">
        <v>80.27</v>
      </c>
      <c r="J276" s="17">
        <v>44436</v>
      </c>
    </row>
    <row r="277" ht="20" customHeight="1" spans="1:10">
      <c r="A277" s="6">
        <v>2</v>
      </c>
      <c r="B277" s="7" t="str">
        <f t="shared" si="83"/>
        <v>013</v>
      </c>
      <c r="C277" s="7" t="str">
        <f>"梁凯雪"</f>
        <v>梁凯雪</v>
      </c>
      <c r="D277" s="7" t="str">
        <f>"20210134502"</f>
        <v>20210134502</v>
      </c>
      <c r="E277" s="7" t="str">
        <f>"45"</f>
        <v>45</v>
      </c>
      <c r="F277" s="7" t="str">
        <f>"02"</f>
        <v>02</v>
      </c>
      <c r="G277" s="8">
        <v>78.9</v>
      </c>
      <c r="H277" s="8">
        <v>80.8</v>
      </c>
      <c r="I277" s="8">
        <v>80.23</v>
      </c>
      <c r="J277" s="17">
        <v>44436</v>
      </c>
    </row>
    <row r="278" ht="20" customHeight="1" spans="1:10">
      <c r="A278" s="6">
        <v>3</v>
      </c>
      <c r="B278" s="7" t="str">
        <f t="shared" si="83"/>
        <v>013</v>
      </c>
      <c r="C278" s="7" t="str">
        <f>"沈蒙蒙"</f>
        <v>沈蒙蒙</v>
      </c>
      <c r="D278" s="7" t="str">
        <f>"20210134708"</f>
        <v>20210134708</v>
      </c>
      <c r="E278" s="7" t="str">
        <f>"47"</f>
        <v>47</v>
      </c>
      <c r="F278" s="7" t="str">
        <f>"08"</f>
        <v>08</v>
      </c>
      <c r="G278" s="8">
        <v>80.3</v>
      </c>
      <c r="H278" s="8">
        <v>79.9</v>
      </c>
      <c r="I278" s="8">
        <v>80.02</v>
      </c>
      <c r="J278" s="17">
        <v>44436</v>
      </c>
    </row>
    <row r="279" ht="20" customHeight="1" spans="1:10">
      <c r="A279" s="6">
        <v>4</v>
      </c>
      <c r="B279" s="7" t="str">
        <f t="shared" si="83"/>
        <v>013</v>
      </c>
      <c r="C279" s="7" t="str">
        <f>"黄晨"</f>
        <v>黄晨</v>
      </c>
      <c r="D279" s="7" t="str">
        <f>"20210134428"</f>
        <v>20210134428</v>
      </c>
      <c r="E279" s="7" t="str">
        <f t="shared" ref="E279:E280" si="84">"44"</f>
        <v>44</v>
      </c>
      <c r="F279" s="7" t="str">
        <f>"28"</f>
        <v>28</v>
      </c>
      <c r="G279" s="8">
        <v>78.6</v>
      </c>
      <c r="H279" s="8">
        <v>80.4</v>
      </c>
      <c r="I279" s="8">
        <v>79.86</v>
      </c>
      <c r="J279" s="17">
        <v>44436</v>
      </c>
    </row>
    <row r="280" ht="20" customHeight="1" spans="1:10">
      <c r="A280" s="6">
        <v>5</v>
      </c>
      <c r="B280" s="7" t="str">
        <f t="shared" si="83"/>
        <v>013</v>
      </c>
      <c r="C280" s="7" t="str">
        <f>"时梦雪"</f>
        <v>时梦雪</v>
      </c>
      <c r="D280" s="7" t="str">
        <f>"20210134420"</f>
        <v>20210134420</v>
      </c>
      <c r="E280" s="7" t="str">
        <f t="shared" si="84"/>
        <v>44</v>
      </c>
      <c r="F280" s="7" t="str">
        <f>"20"</f>
        <v>20</v>
      </c>
      <c r="G280" s="8">
        <v>81.5</v>
      </c>
      <c r="H280" s="8">
        <v>78</v>
      </c>
      <c r="I280" s="8">
        <v>79.05</v>
      </c>
      <c r="J280" s="17">
        <v>44436</v>
      </c>
    </row>
    <row r="281" ht="20" customHeight="1" spans="1:10">
      <c r="A281" s="6">
        <v>6</v>
      </c>
      <c r="B281" s="7" t="str">
        <f t="shared" si="83"/>
        <v>013</v>
      </c>
      <c r="C281" s="7" t="str">
        <f>"曹丽梅"</f>
        <v>曹丽梅</v>
      </c>
      <c r="D281" s="7" t="str">
        <f>"20210134507"</f>
        <v>20210134507</v>
      </c>
      <c r="E281" s="7" t="str">
        <f>"45"</f>
        <v>45</v>
      </c>
      <c r="F281" s="7" t="str">
        <f>"07"</f>
        <v>07</v>
      </c>
      <c r="G281" s="8">
        <v>80.9</v>
      </c>
      <c r="H281" s="8">
        <v>77.2</v>
      </c>
      <c r="I281" s="8">
        <v>78.31</v>
      </c>
      <c r="J281" s="17">
        <v>44436</v>
      </c>
    </row>
    <row r="282" ht="20" customHeight="1" spans="1:10">
      <c r="A282" s="6">
        <v>7</v>
      </c>
      <c r="B282" s="7" t="str">
        <f t="shared" si="83"/>
        <v>013</v>
      </c>
      <c r="C282" s="7" t="str">
        <f>"郑婷婷"</f>
        <v>郑婷婷</v>
      </c>
      <c r="D282" s="7" t="str">
        <f>"20210134619"</f>
        <v>20210134619</v>
      </c>
      <c r="E282" s="7" t="str">
        <f>"46"</f>
        <v>46</v>
      </c>
      <c r="F282" s="7" t="str">
        <f>"19"</f>
        <v>19</v>
      </c>
      <c r="G282" s="8">
        <v>78.9</v>
      </c>
      <c r="H282" s="8">
        <v>76.3</v>
      </c>
      <c r="I282" s="8">
        <v>77.08</v>
      </c>
      <c r="J282" s="17">
        <v>44436</v>
      </c>
    </row>
    <row r="283" ht="20" customHeight="1" spans="1:10">
      <c r="A283" s="6">
        <v>8</v>
      </c>
      <c r="B283" s="7" t="str">
        <f t="shared" si="83"/>
        <v>013</v>
      </c>
      <c r="C283" s="7" t="str">
        <f>"楚莎莎"</f>
        <v>楚莎莎</v>
      </c>
      <c r="D283" s="7" t="str">
        <f>"20210134613"</f>
        <v>20210134613</v>
      </c>
      <c r="E283" s="7" t="str">
        <f>"46"</f>
        <v>46</v>
      </c>
      <c r="F283" s="7" t="str">
        <f>"13"</f>
        <v>13</v>
      </c>
      <c r="G283" s="8">
        <v>83.9</v>
      </c>
      <c r="H283" s="8">
        <v>74.1</v>
      </c>
      <c r="I283" s="8">
        <v>77.04</v>
      </c>
      <c r="J283" s="17">
        <v>44436</v>
      </c>
    </row>
    <row r="284" ht="20" customHeight="1" spans="1:10">
      <c r="A284" s="6">
        <v>9</v>
      </c>
      <c r="B284" s="7" t="str">
        <f t="shared" si="83"/>
        <v>013</v>
      </c>
      <c r="C284" s="7" t="str">
        <f>"张蕊"</f>
        <v>张蕊</v>
      </c>
      <c r="D284" s="7" t="str">
        <f>"20210134720"</f>
        <v>20210134720</v>
      </c>
      <c r="E284" s="7" t="str">
        <f t="shared" ref="E284:E287" si="85">"47"</f>
        <v>47</v>
      </c>
      <c r="F284" s="7" t="str">
        <f>"20"</f>
        <v>20</v>
      </c>
      <c r="G284" s="8">
        <v>75</v>
      </c>
      <c r="H284" s="8">
        <v>77.7</v>
      </c>
      <c r="I284" s="8">
        <v>76.89</v>
      </c>
      <c r="J284" s="17">
        <v>44436</v>
      </c>
    </row>
    <row r="285" ht="20" customHeight="1" spans="1:10">
      <c r="A285" s="6">
        <v>10</v>
      </c>
      <c r="B285" s="7" t="str">
        <f t="shared" si="83"/>
        <v>013</v>
      </c>
      <c r="C285" s="7" t="str">
        <f>"叶妞妞"</f>
        <v>叶妞妞</v>
      </c>
      <c r="D285" s="7" t="str">
        <f>"20210134519"</f>
        <v>20210134519</v>
      </c>
      <c r="E285" s="7" t="str">
        <f>"45"</f>
        <v>45</v>
      </c>
      <c r="F285" s="7" t="str">
        <f>"19"</f>
        <v>19</v>
      </c>
      <c r="G285" s="8">
        <v>76.8</v>
      </c>
      <c r="H285" s="8">
        <v>76.4</v>
      </c>
      <c r="I285" s="8">
        <v>76.52</v>
      </c>
      <c r="J285" s="17">
        <v>44436</v>
      </c>
    </row>
    <row r="286" ht="20" customHeight="1" spans="1:10">
      <c r="A286" s="6">
        <v>11</v>
      </c>
      <c r="B286" s="7" t="str">
        <f t="shared" si="83"/>
        <v>013</v>
      </c>
      <c r="C286" s="7" t="str">
        <f>"韩方"</f>
        <v>韩方</v>
      </c>
      <c r="D286" s="7" t="str">
        <f>"20210134724"</f>
        <v>20210134724</v>
      </c>
      <c r="E286" s="7" t="str">
        <f t="shared" si="85"/>
        <v>47</v>
      </c>
      <c r="F286" s="7" t="str">
        <f>"24"</f>
        <v>24</v>
      </c>
      <c r="G286" s="8">
        <v>76.8</v>
      </c>
      <c r="H286" s="8">
        <v>75.7</v>
      </c>
      <c r="I286" s="8">
        <v>76.03</v>
      </c>
      <c r="J286" s="17">
        <v>44436</v>
      </c>
    </row>
    <row r="287" ht="20" customHeight="1" spans="1:10">
      <c r="A287" s="6">
        <v>12</v>
      </c>
      <c r="B287" s="7" t="str">
        <f t="shared" si="83"/>
        <v>013</v>
      </c>
      <c r="C287" s="7" t="str">
        <f>"修晓红"</f>
        <v>修晓红</v>
      </c>
      <c r="D287" s="7" t="str">
        <f>"20210134713"</f>
        <v>20210134713</v>
      </c>
      <c r="E287" s="7" t="str">
        <f t="shared" si="85"/>
        <v>47</v>
      </c>
      <c r="F287" s="7" t="str">
        <f>"13"</f>
        <v>13</v>
      </c>
      <c r="G287" s="8">
        <v>82.9</v>
      </c>
      <c r="H287" s="8">
        <v>72.6</v>
      </c>
      <c r="I287" s="8">
        <v>75.69</v>
      </c>
      <c r="J287" s="17">
        <v>44436</v>
      </c>
    </row>
    <row r="288" ht="20" customHeight="1" spans="1:10">
      <c r="A288" s="6">
        <v>13</v>
      </c>
      <c r="B288" s="7" t="str">
        <f t="shared" si="83"/>
        <v>013</v>
      </c>
      <c r="C288" s="7" t="str">
        <f>"曹雪"</f>
        <v>曹雪</v>
      </c>
      <c r="D288" s="7" t="str">
        <f>"20210134604"</f>
        <v>20210134604</v>
      </c>
      <c r="E288" s="7" t="str">
        <f>"46"</f>
        <v>46</v>
      </c>
      <c r="F288" s="7" t="str">
        <f>"04"</f>
        <v>04</v>
      </c>
      <c r="G288" s="8">
        <v>83.2</v>
      </c>
      <c r="H288" s="8">
        <v>72.2</v>
      </c>
      <c r="I288" s="8">
        <v>75.5</v>
      </c>
      <c r="J288" s="17">
        <v>44436</v>
      </c>
    </row>
    <row r="289" ht="20" customHeight="1" spans="1:10">
      <c r="A289" s="6">
        <v>14</v>
      </c>
      <c r="B289" s="7" t="str">
        <f t="shared" si="83"/>
        <v>013</v>
      </c>
      <c r="C289" s="7" t="str">
        <f>"宫华茹"</f>
        <v>宫华茹</v>
      </c>
      <c r="D289" s="7" t="str">
        <f>"20210134514"</f>
        <v>20210134514</v>
      </c>
      <c r="E289" s="7" t="str">
        <f>"45"</f>
        <v>45</v>
      </c>
      <c r="F289" s="7" t="str">
        <f>"14"</f>
        <v>14</v>
      </c>
      <c r="G289" s="8">
        <v>83.5</v>
      </c>
      <c r="H289" s="8">
        <v>71.9</v>
      </c>
      <c r="I289" s="8">
        <v>75.38</v>
      </c>
      <c r="J289" s="17">
        <v>44436</v>
      </c>
    </row>
    <row r="290" ht="20" customHeight="1" spans="1:10">
      <c r="A290" s="6">
        <v>15</v>
      </c>
      <c r="B290" s="7" t="str">
        <f t="shared" si="83"/>
        <v>013</v>
      </c>
      <c r="C290" s="7" t="str">
        <f>"闫雨晴"</f>
        <v>闫雨晴</v>
      </c>
      <c r="D290" s="7" t="str">
        <f>"20210134710"</f>
        <v>20210134710</v>
      </c>
      <c r="E290" s="7" t="str">
        <f>"47"</f>
        <v>47</v>
      </c>
      <c r="F290" s="7" t="str">
        <f>"10"</f>
        <v>10</v>
      </c>
      <c r="G290" s="8">
        <v>76.3</v>
      </c>
      <c r="H290" s="8">
        <v>74.3</v>
      </c>
      <c r="I290" s="8">
        <v>74.9</v>
      </c>
      <c r="J290" s="17">
        <v>44436</v>
      </c>
    </row>
    <row r="291" ht="20" customHeight="1" spans="1:10">
      <c r="A291" s="6">
        <v>16</v>
      </c>
      <c r="B291" s="7" t="str">
        <f t="shared" si="83"/>
        <v>013</v>
      </c>
      <c r="C291" s="7" t="str">
        <f>"薛晴"</f>
        <v>薛晴</v>
      </c>
      <c r="D291" s="7" t="str">
        <f>"20210134605"</f>
        <v>20210134605</v>
      </c>
      <c r="E291" s="7" t="str">
        <f>"46"</f>
        <v>46</v>
      </c>
      <c r="F291" s="7" t="str">
        <f>"05"</f>
        <v>05</v>
      </c>
      <c r="G291" s="8">
        <v>76</v>
      </c>
      <c r="H291" s="8">
        <v>74.4</v>
      </c>
      <c r="I291" s="8">
        <v>74.88</v>
      </c>
      <c r="J291" s="17">
        <v>44436</v>
      </c>
    </row>
    <row r="292" ht="20" customHeight="1" spans="1:10">
      <c r="A292" s="6">
        <v>17</v>
      </c>
      <c r="B292" s="9" t="s">
        <v>45</v>
      </c>
      <c r="C292" s="10" t="str">
        <f>"许梦薇"</f>
        <v>许梦薇</v>
      </c>
      <c r="D292" s="10" t="str">
        <f>"20210134501"</f>
        <v>20210134501</v>
      </c>
      <c r="E292" s="10" t="str">
        <f t="shared" ref="E292" si="86">"45"</f>
        <v>45</v>
      </c>
      <c r="F292" s="10" t="str">
        <f>"01"</f>
        <v>01</v>
      </c>
      <c r="G292" s="11">
        <v>76.6</v>
      </c>
      <c r="H292" s="11">
        <v>72.1</v>
      </c>
      <c r="I292" s="11">
        <v>73.45</v>
      </c>
      <c r="J292" s="17">
        <v>44436</v>
      </c>
    </row>
    <row r="293" ht="20" customHeight="1" spans="1:10">
      <c r="A293" s="6">
        <v>18</v>
      </c>
      <c r="B293" s="9" t="s">
        <v>46</v>
      </c>
      <c r="C293" s="10" t="str">
        <f>"李雅霜"</f>
        <v>李雅霜</v>
      </c>
      <c r="D293" s="10" t="str">
        <f>"20210134705"</f>
        <v>20210134705</v>
      </c>
      <c r="E293" s="10" t="str">
        <f>"47"</f>
        <v>47</v>
      </c>
      <c r="F293" s="10" t="str">
        <f>"05"</f>
        <v>05</v>
      </c>
      <c r="G293" s="11">
        <v>77.3</v>
      </c>
      <c r="H293" s="11">
        <v>71.8</v>
      </c>
      <c r="I293" s="11">
        <v>73.45</v>
      </c>
      <c r="J293" s="17">
        <v>44436</v>
      </c>
    </row>
    <row r="294" ht="20" customHeight="1" spans="1:10">
      <c r="A294" s="6">
        <v>19</v>
      </c>
      <c r="B294" s="9" t="s">
        <v>46</v>
      </c>
      <c r="C294" s="10" t="str">
        <f>"马玲"</f>
        <v>马玲</v>
      </c>
      <c r="D294" s="10" t="str">
        <f>"20210134517"</f>
        <v>20210134517</v>
      </c>
      <c r="E294" s="10" t="str">
        <f t="shared" ref="E294" si="87">"45"</f>
        <v>45</v>
      </c>
      <c r="F294" s="10" t="str">
        <f>"17"</f>
        <v>17</v>
      </c>
      <c r="G294" s="11">
        <v>82.6</v>
      </c>
      <c r="H294" s="11">
        <v>69.4</v>
      </c>
      <c r="I294" s="11">
        <v>73.36</v>
      </c>
      <c r="J294" s="17">
        <v>44436</v>
      </c>
    </row>
    <row r="295" ht="20" customHeight="1" spans="1:10">
      <c r="A295" s="6">
        <v>20</v>
      </c>
      <c r="B295" s="9" t="s">
        <v>46</v>
      </c>
      <c r="C295" s="10" t="str">
        <f>"贾莹莹"</f>
        <v>贾莹莹</v>
      </c>
      <c r="D295" s="10" t="str">
        <f>"20210134607"</f>
        <v>20210134607</v>
      </c>
      <c r="E295" s="10" t="str">
        <f>"46"</f>
        <v>46</v>
      </c>
      <c r="F295" s="10" t="str">
        <f>"07"</f>
        <v>07</v>
      </c>
      <c r="G295" s="11">
        <v>84.2</v>
      </c>
      <c r="H295" s="11">
        <v>68.6</v>
      </c>
      <c r="I295" s="11">
        <v>73.28</v>
      </c>
      <c r="J295" s="17">
        <v>44436</v>
      </c>
    </row>
    <row r="296" ht="20" customHeight="1" spans="1:10">
      <c r="A296" s="14" t="s">
        <v>47</v>
      </c>
      <c r="B296" s="15"/>
      <c r="C296" s="15"/>
      <c r="D296" s="15"/>
      <c r="E296" s="15"/>
      <c r="F296" s="15"/>
      <c r="G296" s="15"/>
      <c r="H296" s="15"/>
      <c r="I296" s="15"/>
      <c r="J296" s="18"/>
    </row>
    <row r="297" ht="20" customHeight="1" spans="1:10">
      <c r="A297" s="4" t="s">
        <v>2</v>
      </c>
      <c r="B297" s="5" t="s">
        <v>3</v>
      </c>
      <c r="C297" s="4" t="s">
        <v>4</v>
      </c>
      <c r="D297" s="4" t="s">
        <v>5</v>
      </c>
      <c r="E297" s="4" t="s">
        <v>6</v>
      </c>
      <c r="F297" s="4" t="s">
        <v>7</v>
      </c>
      <c r="G297" s="4" t="s">
        <v>8</v>
      </c>
      <c r="H297" s="4" t="s">
        <v>9</v>
      </c>
      <c r="I297" s="4" t="s">
        <v>10</v>
      </c>
      <c r="J297" s="4" t="s">
        <v>11</v>
      </c>
    </row>
    <row r="298" ht="20" customHeight="1" spans="1:10">
      <c r="A298" s="6">
        <v>1</v>
      </c>
      <c r="B298" s="7" t="str">
        <f t="shared" ref="B298:B318" si="88">"014"</f>
        <v>014</v>
      </c>
      <c r="C298" s="7" t="str">
        <f>"曹璐璐"</f>
        <v>曹璐璐</v>
      </c>
      <c r="D298" s="7" t="str">
        <f>"20210144812"</f>
        <v>20210144812</v>
      </c>
      <c r="E298" s="7" t="str">
        <f>"48"</f>
        <v>48</v>
      </c>
      <c r="F298" s="7" t="str">
        <f>"12"</f>
        <v>12</v>
      </c>
      <c r="G298" s="8">
        <v>85.9</v>
      </c>
      <c r="H298" s="8">
        <v>83.4</v>
      </c>
      <c r="I298" s="8">
        <v>84.15</v>
      </c>
      <c r="J298" s="17">
        <v>44436</v>
      </c>
    </row>
    <row r="299" ht="20" customHeight="1" spans="1:10">
      <c r="A299" s="6">
        <v>2</v>
      </c>
      <c r="B299" s="7" t="str">
        <f t="shared" si="88"/>
        <v>014</v>
      </c>
      <c r="C299" s="7" t="str">
        <f>"庞兰侠"</f>
        <v>庞兰侠</v>
      </c>
      <c r="D299" s="7" t="str">
        <f>"20210144916"</f>
        <v>20210144916</v>
      </c>
      <c r="E299" s="7" t="str">
        <f t="shared" ref="E299:E302" si="89">"49"</f>
        <v>49</v>
      </c>
      <c r="F299" s="7" t="str">
        <f>"16"</f>
        <v>16</v>
      </c>
      <c r="G299" s="8">
        <v>79</v>
      </c>
      <c r="H299" s="8">
        <v>83.8</v>
      </c>
      <c r="I299" s="8">
        <v>82.36</v>
      </c>
      <c r="J299" s="17">
        <v>44436</v>
      </c>
    </row>
    <row r="300" ht="20" customHeight="1" spans="1:10">
      <c r="A300" s="6">
        <v>3</v>
      </c>
      <c r="B300" s="7" t="str">
        <f t="shared" si="88"/>
        <v>014</v>
      </c>
      <c r="C300" s="7" t="str">
        <f>"李娜"</f>
        <v>李娜</v>
      </c>
      <c r="D300" s="7" t="str">
        <f>"20210144918"</f>
        <v>20210144918</v>
      </c>
      <c r="E300" s="7" t="str">
        <f t="shared" si="89"/>
        <v>49</v>
      </c>
      <c r="F300" s="7" t="str">
        <f>"18"</f>
        <v>18</v>
      </c>
      <c r="G300" s="8">
        <v>90.8</v>
      </c>
      <c r="H300" s="8">
        <v>76.1</v>
      </c>
      <c r="I300" s="8">
        <v>80.51</v>
      </c>
      <c r="J300" s="17">
        <v>44436</v>
      </c>
    </row>
    <row r="301" ht="20" customHeight="1" spans="1:10">
      <c r="A301" s="6">
        <v>4</v>
      </c>
      <c r="B301" s="7" t="str">
        <f t="shared" si="88"/>
        <v>014</v>
      </c>
      <c r="C301" s="7" t="str">
        <f>"张梦雪"</f>
        <v>张梦雪</v>
      </c>
      <c r="D301" s="7" t="str">
        <f>"20210144727"</f>
        <v>20210144727</v>
      </c>
      <c r="E301" s="7" t="str">
        <f>"47"</f>
        <v>47</v>
      </c>
      <c r="F301" s="7" t="str">
        <f>"27"</f>
        <v>27</v>
      </c>
      <c r="G301" s="8">
        <v>83.2</v>
      </c>
      <c r="H301" s="8">
        <v>79.3</v>
      </c>
      <c r="I301" s="8">
        <v>80.47</v>
      </c>
      <c r="J301" s="17">
        <v>44436</v>
      </c>
    </row>
    <row r="302" ht="20" customHeight="1" spans="1:10">
      <c r="A302" s="6">
        <v>5</v>
      </c>
      <c r="B302" s="7" t="str">
        <f t="shared" si="88"/>
        <v>014</v>
      </c>
      <c r="C302" s="7" t="str">
        <f>"高凤"</f>
        <v>高凤</v>
      </c>
      <c r="D302" s="7" t="str">
        <f>"20210144921"</f>
        <v>20210144921</v>
      </c>
      <c r="E302" s="7" t="str">
        <f t="shared" si="89"/>
        <v>49</v>
      </c>
      <c r="F302" s="7" t="str">
        <f>"21"</f>
        <v>21</v>
      </c>
      <c r="G302" s="8">
        <v>82.6</v>
      </c>
      <c r="H302" s="8">
        <v>78</v>
      </c>
      <c r="I302" s="8">
        <v>79.38</v>
      </c>
      <c r="J302" s="17">
        <v>44436</v>
      </c>
    </row>
    <row r="303" ht="20" customHeight="1" spans="1:10">
      <c r="A303" s="6">
        <v>6</v>
      </c>
      <c r="B303" s="7" t="str">
        <f t="shared" si="88"/>
        <v>014</v>
      </c>
      <c r="C303" s="7" t="str">
        <f>"余新于"</f>
        <v>余新于</v>
      </c>
      <c r="D303" s="7" t="str">
        <f>"20210145015"</f>
        <v>20210145015</v>
      </c>
      <c r="E303" s="7" t="str">
        <f t="shared" ref="E303:E305" si="90">"50"</f>
        <v>50</v>
      </c>
      <c r="F303" s="7" t="str">
        <f>"15"</f>
        <v>15</v>
      </c>
      <c r="G303" s="8">
        <v>81.7</v>
      </c>
      <c r="H303" s="8">
        <v>77.5</v>
      </c>
      <c r="I303" s="8">
        <v>78.76</v>
      </c>
      <c r="J303" s="17">
        <v>44436</v>
      </c>
    </row>
    <row r="304" ht="20" customHeight="1" spans="1:10">
      <c r="A304" s="6">
        <v>7</v>
      </c>
      <c r="B304" s="7" t="str">
        <f t="shared" si="88"/>
        <v>014</v>
      </c>
      <c r="C304" s="7" t="str">
        <f>"王梦雅"</f>
        <v>王梦雅</v>
      </c>
      <c r="D304" s="7" t="str">
        <f>"20210145021"</f>
        <v>20210145021</v>
      </c>
      <c r="E304" s="7" t="str">
        <f t="shared" si="90"/>
        <v>50</v>
      </c>
      <c r="F304" s="7" t="str">
        <f>"21"</f>
        <v>21</v>
      </c>
      <c r="G304" s="8">
        <v>79.9</v>
      </c>
      <c r="H304" s="8">
        <v>77.2</v>
      </c>
      <c r="I304" s="8">
        <v>78.01</v>
      </c>
      <c r="J304" s="17">
        <v>44436</v>
      </c>
    </row>
    <row r="305" ht="20" customHeight="1" spans="1:10">
      <c r="A305" s="6">
        <v>8</v>
      </c>
      <c r="B305" s="7" t="str">
        <f t="shared" si="88"/>
        <v>014</v>
      </c>
      <c r="C305" s="7" t="str">
        <f>"时嫚俐"</f>
        <v>时嫚俐</v>
      </c>
      <c r="D305" s="7" t="str">
        <f>"20210145020"</f>
        <v>20210145020</v>
      </c>
      <c r="E305" s="7" t="str">
        <f t="shared" si="90"/>
        <v>50</v>
      </c>
      <c r="F305" s="7" t="str">
        <f>"20"</f>
        <v>20</v>
      </c>
      <c r="G305" s="8">
        <v>75.6</v>
      </c>
      <c r="H305" s="8">
        <v>77.6</v>
      </c>
      <c r="I305" s="8">
        <v>77</v>
      </c>
      <c r="J305" s="17">
        <v>44436</v>
      </c>
    </row>
    <row r="306" ht="20" customHeight="1" spans="1:10">
      <c r="A306" s="6">
        <v>9</v>
      </c>
      <c r="B306" s="7" t="str">
        <f t="shared" si="88"/>
        <v>014</v>
      </c>
      <c r="C306" s="7" t="str">
        <f>"孙旭颖"</f>
        <v>孙旭颖</v>
      </c>
      <c r="D306" s="7" t="str">
        <f>"20210144729"</f>
        <v>20210144729</v>
      </c>
      <c r="E306" s="7" t="str">
        <f>"47"</f>
        <v>47</v>
      </c>
      <c r="F306" s="7" t="str">
        <f>"29"</f>
        <v>29</v>
      </c>
      <c r="G306" s="8">
        <v>85.1</v>
      </c>
      <c r="H306" s="8">
        <v>72.6</v>
      </c>
      <c r="I306" s="8">
        <v>76.35</v>
      </c>
      <c r="J306" s="17">
        <v>44436</v>
      </c>
    </row>
    <row r="307" ht="20" customHeight="1" spans="1:10">
      <c r="A307" s="6">
        <v>10</v>
      </c>
      <c r="B307" s="7" t="str">
        <f t="shared" si="88"/>
        <v>014</v>
      </c>
      <c r="C307" s="7" t="str">
        <f>"鹿庆"</f>
        <v>鹿庆</v>
      </c>
      <c r="D307" s="7" t="str">
        <f>"20210144809"</f>
        <v>20210144809</v>
      </c>
      <c r="E307" s="7" t="str">
        <f t="shared" ref="E307:E310" si="91">"48"</f>
        <v>48</v>
      </c>
      <c r="F307" s="7" t="str">
        <f>"09"</f>
        <v>09</v>
      </c>
      <c r="G307" s="8">
        <v>80.1</v>
      </c>
      <c r="H307" s="8">
        <v>74</v>
      </c>
      <c r="I307" s="8">
        <v>75.83</v>
      </c>
      <c r="J307" s="17">
        <v>44436</v>
      </c>
    </row>
    <row r="308" ht="20" customHeight="1" spans="1:10">
      <c r="A308" s="6">
        <v>11</v>
      </c>
      <c r="B308" s="7" t="str">
        <f t="shared" si="88"/>
        <v>014</v>
      </c>
      <c r="C308" s="7" t="str">
        <f>"訾曼曼"</f>
        <v>訾曼曼</v>
      </c>
      <c r="D308" s="7" t="str">
        <f>"20210144806"</f>
        <v>20210144806</v>
      </c>
      <c r="E308" s="7" t="str">
        <f t="shared" si="91"/>
        <v>48</v>
      </c>
      <c r="F308" s="7" t="str">
        <f>"06"</f>
        <v>06</v>
      </c>
      <c r="G308" s="8">
        <v>77.6</v>
      </c>
      <c r="H308" s="8">
        <v>74.8</v>
      </c>
      <c r="I308" s="8">
        <v>75.64</v>
      </c>
      <c r="J308" s="17">
        <v>44436</v>
      </c>
    </row>
    <row r="309" ht="20" customHeight="1" spans="1:10">
      <c r="A309" s="6">
        <v>12</v>
      </c>
      <c r="B309" s="7" t="str">
        <f t="shared" si="88"/>
        <v>014</v>
      </c>
      <c r="C309" s="7" t="str">
        <f>"朱圆圆"</f>
        <v>朱圆圆</v>
      </c>
      <c r="D309" s="7" t="str">
        <f>"20210145004"</f>
        <v>20210145004</v>
      </c>
      <c r="E309" s="7" t="str">
        <f t="shared" ref="E309:E312" si="92">"50"</f>
        <v>50</v>
      </c>
      <c r="F309" s="7" t="str">
        <f>"04"</f>
        <v>04</v>
      </c>
      <c r="G309" s="8">
        <v>80.7</v>
      </c>
      <c r="H309" s="8">
        <v>73</v>
      </c>
      <c r="I309" s="8">
        <v>75.31</v>
      </c>
      <c r="J309" s="17">
        <v>44436</v>
      </c>
    </row>
    <row r="310" ht="20" customHeight="1" spans="1:10">
      <c r="A310" s="6">
        <v>13</v>
      </c>
      <c r="B310" s="7" t="str">
        <f t="shared" si="88"/>
        <v>014</v>
      </c>
      <c r="C310" s="7" t="str">
        <f>"于淼"</f>
        <v>于淼</v>
      </c>
      <c r="D310" s="7" t="str">
        <f>"20210144824"</f>
        <v>20210144824</v>
      </c>
      <c r="E310" s="7" t="str">
        <f t="shared" si="91"/>
        <v>48</v>
      </c>
      <c r="F310" s="7" t="str">
        <f>"24"</f>
        <v>24</v>
      </c>
      <c r="G310" s="8">
        <v>69.2</v>
      </c>
      <c r="H310" s="8">
        <v>76.6</v>
      </c>
      <c r="I310" s="8">
        <v>74.38</v>
      </c>
      <c r="J310" s="17">
        <v>44436</v>
      </c>
    </row>
    <row r="311" ht="20" customHeight="1" spans="1:10">
      <c r="A311" s="6">
        <v>14</v>
      </c>
      <c r="B311" s="7" t="str">
        <f t="shared" si="88"/>
        <v>014</v>
      </c>
      <c r="C311" s="7" t="str">
        <f>"吴春梅"</f>
        <v>吴春梅</v>
      </c>
      <c r="D311" s="7" t="str">
        <f>"20210144908"</f>
        <v>20210144908</v>
      </c>
      <c r="E311" s="7" t="str">
        <f>"49"</f>
        <v>49</v>
      </c>
      <c r="F311" s="7" t="str">
        <f>"08"</f>
        <v>08</v>
      </c>
      <c r="G311" s="8">
        <v>79.2</v>
      </c>
      <c r="H311" s="8">
        <v>71.9</v>
      </c>
      <c r="I311" s="8">
        <v>74.09</v>
      </c>
      <c r="J311" s="17">
        <v>44436</v>
      </c>
    </row>
    <row r="312" ht="20" customHeight="1" spans="1:10">
      <c r="A312" s="6">
        <v>15</v>
      </c>
      <c r="B312" s="7" t="str">
        <f t="shared" si="88"/>
        <v>014</v>
      </c>
      <c r="C312" s="7" t="str">
        <f>"梁敏"</f>
        <v>梁敏</v>
      </c>
      <c r="D312" s="7" t="str">
        <f>"20210145022"</f>
        <v>20210145022</v>
      </c>
      <c r="E312" s="7" t="str">
        <f t="shared" si="92"/>
        <v>50</v>
      </c>
      <c r="F312" s="7" t="str">
        <f>"22"</f>
        <v>22</v>
      </c>
      <c r="G312" s="8">
        <v>82.3</v>
      </c>
      <c r="H312" s="8">
        <v>70.4</v>
      </c>
      <c r="I312" s="8">
        <v>73.97</v>
      </c>
      <c r="J312" s="17">
        <v>44436</v>
      </c>
    </row>
    <row r="313" ht="20" customHeight="1" spans="1:10">
      <c r="A313" s="6">
        <v>16</v>
      </c>
      <c r="B313" s="7" t="str">
        <f t="shared" si="88"/>
        <v>014</v>
      </c>
      <c r="C313" s="7" t="str">
        <f>"姜晶晶"</f>
        <v>姜晶晶</v>
      </c>
      <c r="D313" s="7" t="str">
        <f>"20210144821"</f>
        <v>20210144821</v>
      </c>
      <c r="E313" s="7" t="str">
        <f>"48"</f>
        <v>48</v>
      </c>
      <c r="F313" s="7" t="str">
        <f>"21"</f>
        <v>21</v>
      </c>
      <c r="G313" s="8">
        <v>77.4</v>
      </c>
      <c r="H313" s="8">
        <v>72.2</v>
      </c>
      <c r="I313" s="8">
        <v>73.76</v>
      </c>
      <c r="J313" s="17">
        <v>44436</v>
      </c>
    </row>
    <row r="314" ht="20" customHeight="1" spans="1:10">
      <c r="A314" s="6">
        <v>17</v>
      </c>
      <c r="B314" s="7" t="str">
        <f t="shared" si="88"/>
        <v>014</v>
      </c>
      <c r="C314" s="7" t="str">
        <f>"李孟亭"</f>
        <v>李孟亭</v>
      </c>
      <c r="D314" s="7" t="str">
        <f>"20210144808"</f>
        <v>20210144808</v>
      </c>
      <c r="E314" s="7" t="str">
        <f>"48"</f>
        <v>48</v>
      </c>
      <c r="F314" s="7" t="str">
        <f>"08"</f>
        <v>08</v>
      </c>
      <c r="G314" s="8">
        <v>76.9</v>
      </c>
      <c r="H314" s="8">
        <v>72</v>
      </c>
      <c r="I314" s="8">
        <v>73.47</v>
      </c>
      <c r="J314" s="17">
        <v>44436</v>
      </c>
    </row>
    <row r="315" ht="20" customHeight="1" spans="1:10">
      <c r="A315" s="6">
        <v>18</v>
      </c>
      <c r="B315" s="7" t="str">
        <f t="shared" si="88"/>
        <v>014</v>
      </c>
      <c r="C315" s="7" t="str">
        <f>"李同洁"</f>
        <v>李同洁</v>
      </c>
      <c r="D315" s="7" t="str">
        <f>"20210144919"</f>
        <v>20210144919</v>
      </c>
      <c r="E315" s="7" t="str">
        <f>"49"</f>
        <v>49</v>
      </c>
      <c r="F315" s="7" t="str">
        <f>"19"</f>
        <v>19</v>
      </c>
      <c r="G315" s="8">
        <v>73.4</v>
      </c>
      <c r="H315" s="8">
        <v>73.3</v>
      </c>
      <c r="I315" s="8">
        <v>73.33</v>
      </c>
      <c r="J315" s="17">
        <v>44436</v>
      </c>
    </row>
    <row r="316" ht="20" customHeight="1" spans="1:10">
      <c r="A316" s="6">
        <v>19</v>
      </c>
      <c r="B316" s="7" t="str">
        <f t="shared" si="88"/>
        <v>014</v>
      </c>
      <c r="C316" s="7" t="str">
        <f>"赵利萍"</f>
        <v>赵利萍</v>
      </c>
      <c r="D316" s="7" t="str">
        <f>"20210145023"</f>
        <v>20210145023</v>
      </c>
      <c r="E316" s="7" t="str">
        <f>"50"</f>
        <v>50</v>
      </c>
      <c r="F316" s="7" t="str">
        <f>"23"</f>
        <v>23</v>
      </c>
      <c r="G316" s="8">
        <v>78</v>
      </c>
      <c r="H316" s="8">
        <v>71</v>
      </c>
      <c r="I316" s="8">
        <v>73.1</v>
      </c>
      <c r="J316" s="17">
        <v>44436</v>
      </c>
    </row>
    <row r="317" ht="20" customHeight="1" spans="1:10">
      <c r="A317" s="6">
        <v>20</v>
      </c>
      <c r="B317" s="7" t="str">
        <f t="shared" si="88"/>
        <v>014</v>
      </c>
      <c r="C317" s="7" t="str">
        <f>"王慧玲"</f>
        <v>王慧玲</v>
      </c>
      <c r="D317" s="7" t="str">
        <f>"20210145017"</f>
        <v>20210145017</v>
      </c>
      <c r="E317" s="7" t="str">
        <f>"50"</f>
        <v>50</v>
      </c>
      <c r="F317" s="7" t="str">
        <f>"17"</f>
        <v>17</v>
      </c>
      <c r="G317" s="8">
        <v>75.8</v>
      </c>
      <c r="H317" s="8">
        <v>71.6</v>
      </c>
      <c r="I317" s="8">
        <v>72.86</v>
      </c>
      <c r="J317" s="17">
        <v>44436</v>
      </c>
    </row>
    <row r="318" ht="20" customHeight="1" spans="1:10">
      <c r="A318" s="6">
        <v>21</v>
      </c>
      <c r="B318" s="7" t="str">
        <f t="shared" si="88"/>
        <v>014</v>
      </c>
      <c r="C318" s="7" t="str">
        <f>"刘慧慧"</f>
        <v>刘慧慧</v>
      </c>
      <c r="D318" s="7" t="str">
        <f>"20210144813"</f>
        <v>20210144813</v>
      </c>
      <c r="E318" s="7" t="str">
        <f t="shared" ref="E318" si="93">"48"</f>
        <v>48</v>
      </c>
      <c r="F318" s="7" t="str">
        <f>"13"</f>
        <v>13</v>
      </c>
      <c r="G318" s="8">
        <v>74.9</v>
      </c>
      <c r="H318" s="8">
        <v>71.9</v>
      </c>
      <c r="I318" s="8">
        <v>72.8</v>
      </c>
      <c r="J318" s="17">
        <v>44436</v>
      </c>
    </row>
    <row r="319" ht="20" customHeight="1" spans="1:10">
      <c r="A319" s="6">
        <v>22</v>
      </c>
      <c r="B319" s="9" t="s">
        <v>48</v>
      </c>
      <c r="C319" s="10" t="str">
        <f>"屈梦雨"</f>
        <v>屈梦雨</v>
      </c>
      <c r="D319" s="10" t="str">
        <f>"20210144930"</f>
        <v>20210144930</v>
      </c>
      <c r="E319" s="10" t="str">
        <f t="shared" ref="E319:E320" si="94">"49"</f>
        <v>49</v>
      </c>
      <c r="F319" s="10" t="str">
        <f>"30"</f>
        <v>30</v>
      </c>
      <c r="G319" s="11">
        <v>70.5</v>
      </c>
      <c r="H319" s="11">
        <v>72.9</v>
      </c>
      <c r="I319" s="11">
        <v>72.18</v>
      </c>
      <c r="J319" s="17">
        <v>44436</v>
      </c>
    </row>
    <row r="320" ht="20" customHeight="1" spans="1:10">
      <c r="A320" s="6">
        <v>23</v>
      </c>
      <c r="B320" s="9" t="s">
        <v>49</v>
      </c>
      <c r="C320" s="10" t="str">
        <f>"苏阿艳"</f>
        <v>苏阿艳</v>
      </c>
      <c r="D320" s="10" t="str">
        <f>"20210144904"</f>
        <v>20210144904</v>
      </c>
      <c r="E320" s="10" t="str">
        <f t="shared" si="94"/>
        <v>49</v>
      </c>
      <c r="F320" s="10" t="str">
        <f>"04"</f>
        <v>04</v>
      </c>
      <c r="G320" s="11">
        <v>79</v>
      </c>
      <c r="H320" s="11">
        <v>68.7</v>
      </c>
      <c r="I320" s="11">
        <v>71.79</v>
      </c>
      <c r="J320" s="17">
        <v>44436</v>
      </c>
    </row>
    <row r="321" ht="20" customHeight="1" spans="1:10">
      <c r="A321" s="6">
        <v>24</v>
      </c>
      <c r="B321" s="16" t="s">
        <v>48</v>
      </c>
      <c r="C321" s="12" t="str">
        <f>"刘彦"</f>
        <v>刘彦</v>
      </c>
      <c r="D321" s="12" t="str">
        <f>"20210144826"</f>
        <v>20210144826</v>
      </c>
      <c r="E321" s="12" t="str">
        <f t="shared" ref="E321" si="95">"48"</f>
        <v>48</v>
      </c>
      <c r="F321" s="12" t="str">
        <f>"26"</f>
        <v>26</v>
      </c>
      <c r="G321" s="13">
        <v>75.9</v>
      </c>
      <c r="H321" s="13">
        <v>69.9</v>
      </c>
      <c r="I321" s="13">
        <v>71.7</v>
      </c>
      <c r="J321" s="17">
        <v>44436</v>
      </c>
    </row>
    <row r="322" ht="20" customHeight="1" spans="1:10">
      <c r="A322" s="14" t="s">
        <v>50</v>
      </c>
      <c r="B322" s="15"/>
      <c r="C322" s="15"/>
      <c r="D322" s="15"/>
      <c r="E322" s="15"/>
      <c r="F322" s="15"/>
      <c r="G322" s="15"/>
      <c r="H322" s="15"/>
      <c r="I322" s="15"/>
      <c r="J322" s="18"/>
    </row>
    <row r="323" ht="20" customHeight="1" spans="1:10">
      <c r="A323" s="4" t="s">
        <v>2</v>
      </c>
      <c r="B323" s="5" t="s">
        <v>3</v>
      </c>
      <c r="C323" s="4" t="s">
        <v>4</v>
      </c>
      <c r="D323" s="4" t="s">
        <v>5</v>
      </c>
      <c r="E323" s="4" t="s">
        <v>6</v>
      </c>
      <c r="F323" s="4" t="s">
        <v>7</v>
      </c>
      <c r="G323" s="4" t="s">
        <v>8</v>
      </c>
      <c r="H323" s="4" t="s">
        <v>9</v>
      </c>
      <c r="I323" s="4" t="s">
        <v>10</v>
      </c>
      <c r="J323" s="4" t="s">
        <v>11</v>
      </c>
    </row>
    <row r="324" ht="20" customHeight="1" spans="1:10">
      <c r="A324" s="6">
        <v>1</v>
      </c>
      <c r="B324" s="7" t="str">
        <f t="shared" ref="B324:B340" si="96">"015"</f>
        <v>015</v>
      </c>
      <c r="C324" s="7" t="str">
        <f>"锁静文"</f>
        <v>锁静文</v>
      </c>
      <c r="D324" s="7" t="str">
        <f>"20210155318"</f>
        <v>20210155318</v>
      </c>
      <c r="E324" s="7" t="str">
        <f t="shared" ref="E324:E328" si="97">"53"</f>
        <v>53</v>
      </c>
      <c r="F324" s="7" t="str">
        <f>"18"</f>
        <v>18</v>
      </c>
      <c r="G324" s="8">
        <v>79.3</v>
      </c>
      <c r="H324" s="8">
        <v>85.3</v>
      </c>
      <c r="I324" s="8">
        <v>83.5</v>
      </c>
      <c r="J324" s="17">
        <v>44436</v>
      </c>
    </row>
    <row r="325" ht="20" customHeight="1" spans="1:10">
      <c r="A325" s="6">
        <v>2</v>
      </c>
      <c r="B325" s="7" t="str">
        <f t="shared" si="96"/>
        <v>015</v>
      </c>
      <c r="C325" s="7" t="str">
        <f>"李思杭"</f>
        <v>李思杭</v>
      </c>
      <c r="D325" s="7" t="str">
        <f>"20210155312"</f>
        <v>20210155312</v>
      </c>
      <c r="E325" s="7" t="str">
        <f t="shared" si="97"/>
        <v>53</v>
      </c>
      <c r="F325" s="7" t="str">
        <f>"12"</f>
        <v>12</v>
      </c>
      <c r="G325" s="8">
        <v>85.5</v>
      </c>
      <c r="H325" s="8">
        <v>78.7</v>
      </c>
      <c r="I325" s="8">
        <v>80.74</v>
      </c>
      <c r="J325" s="17">
        <v>44436</v>
      </c>
    </row>
    <row r="326" ht="20" customHeight="1" spans="1:10">
      <c r="A326" s="6">
        <v>3</v>
      </c>
      <c r="B326" s="7" t="str">
        <f t="shared" si="96"/>
        <v>015</v>
      </c>
      <c r="C326" s="7" t="str">
        <f>"王静玲"</f>
        <v>王静玲</v>
      </c>
      <c r="D326" s="7" t="str">
        <f>"20210155224"</f>
        <v>20210155224</v>
      </c>
      <c r="E326" s="7" t="str">
        <f t="shared" ref="E326:E332" si="98">"52"</f>
        <v>52</v>
      </c>
      <c r="F326" s="7" t="str">
        <f>"24"</f>
        <v>24</v>
      </c>
      <c r="G326" s="8">
        <v>78.2</v>
      </c>
      <c r="H326" s="8">
        <v>81.8</v>
      </c>
      <c r="I326" s="8">
        <v>80.72</v>
      </c>
      <c r="J326" s="17">
        <v>44436</v>
      </c>
    </row>
    <row r="327" ht="20" customHeight="1" spans="1:10">
      <c r="A327" s="6">
        <v>4</v>
      </c>
      <c r="B327" s="7" t="str">
        <f t="shared" si="96"/>
        <v>015</v>
      </c>
      <c r="C327" s="7" t="str">
        <f>"韦会"</f>
        <v>韦会</v>
      </c>
      <c r="D327" s="7" t="str">
        <f>"20210155030"</f>
        <v>20210155030</v>
      </c>
      <c r="E327" s="7" t="str">
        <f t="shared" ref="E327" si="99">"50"</f>
        <v>50</v>
      </c>
      <c r="F327" s="7" t="str">
        <f>"30"</f>
        <v>30</v>
      </c>
      <c r="G327" s="8">
        <v>83.3</v>
      </c>
      <c r="H327" s="8">
        <v>79.1</v>
      </c>
      <c r="I327" s="8">
        <v>80.36</v>
      </c>
      <c r="J327" s="17">
        <v>44436</v>
      </c>
    </row>
    <row r="328" ht="20" customHeight="1" spans="1:10">
      <c r="A328" s="6">
        <v>5</v>
      </c>
      <c r="B328" s="7" t="str">
        <f t="shared" si="96"/>
        <v>015</v>
      </c>
      <c r="C328" s="7" t="str">
        <f>"李静静"</f>
        <v>李静静</v>
      </c>
      <c r="D328" s="7" t="str">
        <f>"20210155322"</f>
        <v>20210155322</v>
      </c>
      <c r="E328" s="7" t="str">
        <f t="shared" si="97"/>
        <v>53</v>
      </c>
      <c r="F328" s="7" t="str">
        <f>"22"</f>
        <v>22</v>
      </c>
      <c r="G328" s="8">
        <v>83.3</v>
      </c>
      <c r="H328" s="8">
        <v>76.3</v>
      </c>
      <c r="I328" s="8">
        <v>78.4</v>
      </c>
      <c r="J328" s="17">
        <v>44436</v>
      </c>
    </row>
    <row r="329" ht="20" customHeight="1" spans="1:10">
      <c r="A329" s="6">
        <v>6</v>
      </c>
      <c r="B329" s="7" t="str">
        <f t="shared" si="96"/>
        <v>015</v>
      </c>
      <c r="C329" s="7" t="str">
        <f>"耿梦茹"</f>
        <v>耿梦茹</v>
      </c>
      <c r="D329" s="7" t="str">
        <f>"20210155222"</f>
        <v>20210155222</v>
      </c>
      <c r="E329" s="7" t="str">
        <f t="shared" si="98"/>
        <v>52</v>
      </c>
      <c r="F329" s="7" t="str">
        <f>"22"</f>
        <v>22</v>
      </c>
      <c r="G329" s="8">
        <v>79.1</v>
      </c>
      <c r="H329" s="8">
        <v>77.9</v>
      </c>
      <c r="I329" s="8">
        <v>78.26</v>
      </c>
      <c r="J329" s="17">
        <v>44436</v>
      </c>
    </row>
    <row r="330" ht="20" customHeight="1" spans="1:10">
      <c r="A330" s="6">
        <v>7</v>
      </c>
      <c r="B330" s="7" t="str">
        <f t="shared" si="96"/>
        <v>015</v>
      </c>
      <c r="C330" s="7" t="str">
        <f>"刘怡诺"</f>
        <v>刘怡诺</v>
      </c>
      <c r="D330" s="7" t="str">
        <f>"20210155316"</f>
        <v>20210155316</v>
      </c>
      <c r="E330" s="7" t="str">
        <f>"53"</f>
        <v>53</v>
      </c>
      <c r="F330" s="7" t="str">
        <f>"16"</f>
        <v>16</v>
      </c>
      <c r="G330" s="8">
        <v>79.6</v>
      </c>
      <c r="H330" s="8">
        <v>77.5</v>
      </c>
      <c r="I330" s="8">
        <v>78.13</v>
      </c>
      <c r="J330" s="17">
        <v>44436</v>
      </c>
    </row>
    <row r="331" ht="20" customHeight="1" spans="1:10">
      <c r="A331" s="6">
        <v>8</v>
      </c>
      <c r="B331" s="7" t="str">
        <f t="shared" si="96"/>
        <v>015</v>
      </c>
      <c r="C331" s="7" t="str">
        <f>"郭行锦"</f>
        <v>郭行锦</v>
      </c>
      <c r="D331" s="7" t="str">
        <f>"20210155219"</f>
        <v>20210155219</v>
      </c>
      <c r="E331" s="7" t="str">
        <f t="shared" si="98"/>
        <v>52</v>
      </c>
      <c r="F331" s="7" t="str">
        <f>"19"</f>
        <v>19</v>
      </c>
      <c r="G331" s="8">
        <v>78.8</v>
      </c>
      <c r="H331" s="8">
        <v>75.3</v>
      </c>
      <c r="I331" s="8">
        <v>76.35</v>
      </c>
      <c r="J331" s="17">
        <v>44436</v>
      </c>
    </row>
    <row r="332" ht="20" customHeight="1" spans="1:10">
      <c r="A332" s="6">
        <v>9</v>
      </c>
      <c r="B332" s="7" t="str">
        <f t="shared" si="96"/>
        <v>015</v>
      </c>
      <c r="C332" s="7" t="str">
        <f>"马萌萌"</f>
        <v>马萌萌</v>
      </c>
      <c r="D332" s="7" t="str">
        <f>"20210155220"</f>
        <v>20210155220</v>
      </c>
      <c r="E332" s="7" t="str">
        <f t="shared" si="98"/>
        <v>52</v>
      </c>
      <c r="F332" s="7" t="str">
        <f>"20"</f>
        <v>20</v>
      </c>
      <c r="G332" s="8">
        <v>69.1</v>
      </c>
      <c r="H332" s="8">
        <v>79.2</v>
      </c>
      <c r="I332" s="8">
        <v>76.17</v>
      </c>
      <c r="J332" s="17">
        <v>44436</v>
      </c>
    </row>
    <row r="333" ht="20" customHeight="1" spans="1:10">
      <c r="A333" s="6">
        <v>10</v>
      </c>
      <c r="B333" s="7" t="str">
        <f t="shared" si="96"/>
        <v>015</v>
      </c>
      <c r="C333" s="7" t="str">
        <f>"张云玲"</f>
        <v>张云玲</v>
      </c>
      <c r="D333" s="7" t="str">
        <f>"20210155323"</f>
        <v>20210155323</v>
      </c>
      <c r="E333" s="7" t="str">
        <f>"53"</f>
        <v>53</v>
      </c>
      <c r="F333" s="7" t="str">
        <f>"23"</f>
        <v>23</v>
      </c>
      <c r="G333" s="8">
        <v>76.9</v>
      </c>
      <c r="H333" s="8">
        <v>75.6</v>
      </c>
      <c r="I333" s="8">
        <v>75.99</v>
      </c>
      <c r="J333" s="17">
        <v>44436</v>
      </c>
    </row>
    <row r="334" ht="20" customHeight="1" spans="1:10">
      <c r="A334" s="6">
        <v>11</v>
      </c>
      <c r="B334" s="7" t="str">
        <f t="shared" si="96"/>
        <v>015</v>
      </c>
      <c r="C334" s="7" t="str">
        <f>"潘姣姣"</f>
        <v>潘姣姣</v>
      </c>
      <c r="D334" s="7" t="str">
        <f>"20210155110"</f>
        <v>20210155110</v>
      </c>
      <c r="E334" s="7" t="str">
        <f t="shared" ref="E334:E336" si="100">"51"</f>
        <v>51</v>
      </c>
      <c r="F334" s="7" t="str">
        <f>"10"</f>
        <v>10</v>
      </c>
      <c r="G334" s="8">
        <v>79.5</v>
      </c>
      <c r="H334" s="8">
        <v>73.9</v>
      </c>
      <c r="I334" s="8">
        <v>75.58</v>
      </c>
      <c r="J334" s="17">
        <v>44436</v>
      </c>
    </row>
    <row r="335" ht="20" customHeight="1" spans="1:10">
      <c r="A335" s="6">
        <v>12</v>
      </c>
      <c r="B335" s="7" t="str">
        <f t="shared" si="96"/>
        <v>015</v>
      </c>
      <c r="C335" s="7" t="str">
        <f>"霍飒飒"</f>
        <v>霍飒飒</v>
      </c>
      <c r="D335" s="7" t="str">
        <f>"20210155111"</f>
        <v>20210155111</v>
      </c>
      <c r="E335" s="7" t="str">
        <f t="shared" si="100"/>
        <v>51</v>
      </c>
      <c r="F335" s="7" t="str">
        <f>"11"</f>
        <v>11</v>
      </c>
      <c r="G335" s="8">
        <v>77.5</v>
      </c>
      <c r="H335" s="8">
        <v>74.4</v>
      </c>
      <c r="I335" s="8">
        <v>75.33</v>
      </c>
      <c r="J335" s="17">
        <v>44436</v>
      </c>
    </row>
    <row r="336" ht="20" customHeight="1" spans="1:10">
      <c r="A336" s="6">
        <v>13</v>
      </c>
      <c r="B336" s="7" t="str">
        <f t="shared" si="96"/>
        <v>015</v>
      </c>
      <c r="C336" s="7" t="str">
        <f>"谢梦雅"</f>
        <v>谢梦雅</v>
      </c>
      <c r="D336" s="7" t="str">
        <f>"20210155130"</f>
        <v>20210155130</v>
      </c>
      <c r="E336" s="7" t="str">
        <f t="shared" si="100"/>
        <v>51</v>
      </c>
      <c r="F336" s="7" t="str">
        <f>"30"</f>
        <v>30</v>
      </c>
      <c r="G336" s="8">
        <v>73.5</v>
      </c>
      <c r="H336" s="8">
        <v>75.9</v>
      </c>
      <c r="I336" s="8">
        <v>75.18</v>
      </c>
      <c r="J336" s="17">
        <v>44436</v>
      </c>
    </row>
    <row r="337" ht="20" customHeight="1" spans="1:10">
      <c r="A337" s="6">
        <v>14</v>
      </c>
      <c r="B337" s="7" t="str">
        <f t="shared" si="96"/>
        <v>015</v>
      </c>
      <c r="C337" s="7" t="str">
        <f>"陈瑞琳"</f>
        <v>陈瑞琳</v>
      </c>
      <c r="D337" s="7" t="str">
        <f>"20210155215"</f>
        <v>20210155215</v>
      </c>
      <c r="E337" s="7" t="str">
        <f>"52"</f>
        <v>52</v>
      </c>
      <c r="F337" s="7" t="str">
        <f>"15"</f>
        <v>15</v>
      </c>
      <c r="G337" s="8">
        <v>71.3</v>
      </c>
      <c r="H337" s="8">
        <v>76.5</v>
      </c>
      <c r="I337" s="8">
        <v>74.94</v>
      </c>
      <c r="J337" s="17">
        <v>44436</v>
      </c>
    </row>
    <row r="338" ht="20" customHeight="1" spans="1:10">
      <c r="A338" s="6">
        <v>15</v>
      </c>
      <c r="B338" s="7" t="str">
        <f t="shared" si="96"/>
        <v>015</v>
      </c>
      <c r="C338" s="7" t="str">
        <f>"张皓琳"</f>
        <v>张皓琳</v>
      </c>
      <c r="D338" s="7" t="str">
        <f>"20210155317"</f>
        <v>20210155317</v>
      </c>
      <c r="E338" s="7" t="str">
        <f t="shared" ref="E338" si="101">"53"</f>
        <v>53</v>
      </c>
      <c r="F338" s="7" t="str">
        <f>"17"</f>
        <v>17</v>
      </c>
      <c r="G338" s="8">
        <v>82.9</v>
      </c>
      <c r="H338" s="8">
        <v>71.5</v>
      </c>
      <c r="I338" s="8">
        <v>74.92</v>
      </c>
      <c r="J338" s="17">
        <v>44436</v>
      </c>
    </row>
    <row r="339" ht="20" customHeight="1" spans="1:10">
      <c r="A339" s="6">
        <v>16</v>
      </c>
      <c r="B339" s="7" t="str">
        <f t="shared" si="96"/>
        <v>015</v>
      </c>
      <c r="C339" s="7" t="str">
        <f>"李梦婷"</f>
        <v>李梦婷</v>
      </c>
      <c r="D339" s="7" t="str">
        <f>"20210155105"</f>
        <v>20210155105</v>
      </c>
      <c r="E339" s="7" t="str">
        <f t="shared" ref="E339:E340" si="102">"51"</f>
        <v>51</v>
      </c>
      <c r="F339" s="7" t="str">
        <f>"05"</f>
        <v>05</v>
      </c>
      <c r="G339" s="8">
        <v>82.1</v>
      </c>
      <c r="H339" s="8">
        <v>71.1</v>
      </c>
      <c r="I339" s="8">
        <v>74.4</v>
      </c>
      <c r="J339" s="17">
        <v>44436</v>
      </c>
    </row>
    <row r="340" ht="20" customHeight="1" spans="1:10">
      <c r="A340" s="6">
        <v>17</v>
      </c>
      <c r="B340" s="7" t="str">
        <f t="shared" si="96"/>
        <v>015</v>
      </c>
      <c r="C340" s="7" t="str">
        <f>"郭美婷"</f>
        <v>郭美婷</v>
      </c>
      <c r="D340" s="7" t="str">
        <f>"20210155118"</f>
        <v>20210155118</v>
      </c>
      <c r="E340" s="7" t="str">
        <f t="shared" si="102"/>
        <v>51</v>
      </c>
      <c r="F340" s="7" t="str">
        <f>"18"</f>
        <v>18</v>
      </c>
      <c r="G340" s="8">
        <v>76.7</v>
      </c>
      <c r="H340" s="8">
        <v>73.1</v>
      </c>
      <c r="I340" s="8">
        <v>74.18</v>
      </c>
      <c r="J340" s="17">
        <v>44436</v>
      </c>
    </row>
    <row r="341" ht="20" customHeight="1" spans="1:10">
      <c r="A341" s="6">
        <v>18</v>
      </c>
      <c r="B341" s="9" t="s">
        <v>51</v>
      </c>
      <c r="C341" s="10" t="str">
        <f>"时蕊"</f>
        <v>时蕊</v>
      </c>
      <c r="D341" s="10" t="str">
        <f>"20210155112"</f>
        <v>20210155112</v>
      </c>
      <c r="E341" s="10" t="str">
        <f t="shared" ref="E341" si="103">"51"</f>
        <v>51</v>
      </c>
      <c r="F341" s="10" t="str">
        <f>"12"</f>
        <v>12</v>
      </c>
      <c r="G341" s="11">
        <v>78.1</v>
      </c>
      <c r="H341" s="11">
        <v>71.7</v>
      </c>
      <c r="I341" s="11">
        <v>73.62</v>
      </c>
      <c r="J341" s="17">
        <v>44436</v>
      </c>
    </row>
    <row r="342" ht="20" customHeight="1" spans="1:10">
      <c r="A342" s="6">
        <v>19</v>
      </c>
      <c r="B342" s="9" t="s">
        <v>52</v>
      </c>
      <c r="C342" s="10" t="str">
        <f>"张晴晴"</f>
        <v>张晴晴</v>
      </c>
      <c r="D342" s="10" t="str">
        <f>"20210155201"</f>
        <v>20210155201</v>
      </c>
      <c r="E342" s="10" t="str">
        <f t="shared" ref="E342:E343" si="104">"52"</f>
        <v>52</v>
      </c>
      <c r="F342" s="10" t="str">
        <f>"01"</f>
        <v>01</v>
      </c>
      <c r="G342" s="11">
        <v>76.1</v>
      </c>
      <c r="H342" s="11">
        <v>72.1</v>
      </c>
      <c r="I342" s="11">
        <v>73.3</v>
      </c>
      <c r="J342" s="17">
        <v>44436</v>
      </c>
    </row>
    <row r="343" ht="20" customHeight="1" spans="1:10">
      <c r="A343" s="6">
        <v>20</v>
      </c>
      <c r="B343" s="16" t="s">
        <v>51</v>
      </c>
      <c r="C343" s="12" t="str">
        <f>"田方方"</f>
        <v>田方方</v>
      </c>
      <c r="D343" s="12" t="str">
        <f>"20210155227"</f>
        <v>20210155227</v>
      </c>
      <c r="E343" s="12" t="str">
        <f t="shared" si="104"/>
        <v>52</v>
      </c>
      <c r="F343" s="12" t="str">
        <f>"27"</f>
        <v>27</v>
      </c>
      <c r="G343" s="13">
        <v>74.6</v>
      </c>
      <c r="H343" s="13">
        <v>72.3</v>
      </c>
      <c r="I343" s="13">
        <v>72.99</v>
      </c>
      <c r="J343" s="17">
        <v>44436</v>
      </c>
    </row>
    <row r="344" ht="20" customHeight="1" spans="1:10">
      <c r="A344" s="14" t="s">
        <v>53</v>
      </c>
      <c r="B344" s="15"/>
      <c r="C344" s="15"/>
      <c r="D344" s="15"/>
      <c r="E344" s="15"/>
      <c r="F344" s="15"/>
      <c r="G344" s="15"/>
      <c r="H344" s="15"/>
      <c r="I344" s="15"/>
      <c r="J344" s="18"/>
    </row>
    <row r="345" ht="20" customHeight="1" spans="1:10">
      <c r="A345" s="4" t="s">
        <v>2</v>
      </c>
      <c r="B345" s="5" t="s">
        <v>3</v>
      </c>
      <c r="C345" s="4" t="s">
        <v>4</v>
      </c>
      <c r="D345" s="4" t="s">
        <v>5</v>
      </c>
      <c r="E345" s="4" t="s">
        <v>6</v>
      </c>
      <c r="F345" s="4" t="s">
        <v>7</v>
      </c>
      <c r="G345" s="4" t="s">
        <v>8</v>
      </c>
      <c r="H345" s="4" t="s">
        <v>9</v>
      </c>
      <c r="I345" s="4" t="s">
        <v>10</v>
      </c>
      <c r="J345" s="4" t="s">
        <v>11</v>
      </c>
    </row>
    <row r="346" ht="20" customHeight="1" spans="1:10">
      <c r="A346" s="6">
        <v>1</v>
      </c>
      <c r="B346" s="7" t="str">
        <f t="shared" ref="B346:B367" si="105">"016"</f>
        <v>016</v>
      </c>
      <c r="C346" s="7" t="str">
        <f>"张阿慧"</f>
        <v>张阿慧</v>
      </c>
      <c r="D346" s="7" t="str">
        <f>"20210165624"</f>
        <v>20210165624</v>
      </c>
      <c r="E346" s="7" t="str">
        <f>"56"</f>
        <v>56</v>
      </c>
      <c r="F346" s="7" t="str">
        <f>"24"</f>
        <v>24</v>
      </c>
      <c r="G346" s="8">
        <v>85.3</v>
      </c>
      <c r="H346" s="8">
        <v>86.1</v>
      </c>
      <c r="I346" s="8">
        <v>85.86</v>
      </c>
      <c r="J346" s="17">
        <v>44436</v>
      </c>
    </row>
    <row r="347" ht="20" customHeight="1" spans="1:10">
      <c r="A347" s="6">
        <v>2</v>
      </c>
      <c r="B347" s="7" t="str">
        <f t="shared" si="105"/>
        <v>016</v>
      </c>
      <c r="C347" s="7" t="str">
        <f>"卢子青"</f>
        <v>卢子青</v>
      </c>
      <c r="D347" s="7" t="str">
        <f>"20210165501"</f>
        <v>20210165501</v>
      </c>
      <c r="E347" s="7" t="str">
        <f t="shared" ref="E347:E352" si="106">"55"</f>
        <v>55</v>
      </c>
      <c r="F347" s="7" t="str">
        <f>"01"</f>
        <v>01</v>
      </c>
      <c r="G347" s="8">
        <v>82.9</v>
      </c>
      <c r="H347" s="8">
        <v>84.5</v>
      </c>
      <c r="I347" s="8">
        <v>84.02</v>
      </c>
      <c r="J347" s="17">
        <v>44436</v>
      </c>
    </row>
    <row r="348" ht="20" customHeight="1" spans="1:10">
      <c r="A348" s="6">
        <v>3</v>
      </c>
      <c r="B348" s="7" t="str">
        <f t="shared" si="105"/>
        <v>016</v>
      </c>
      <c r="C348" s="7" t="str">
        <f>"王雅丽"</f>
        <v>王雅丽</v>
      </c>
      <c r="D348" s="7" t="str">
        <f>"20210165418"</f>
        <v>20210165418</v>
      </c>
      <c r="E348" s="7" t="str">
        <f>"54"</f>
        <v>54</v>
      </c>
      <c r="F348" s="7" t="str">
        <f>"18"</f>
        <v>18</v>
      </c>
      <c r="G348" s="8">
        <v>87.6</v>
      </c>
      <c r="H348" s="8">
        <v>81.5</v>
      </c>
      <c r="I348" s="8">
        <v>83.33</v>
      </c>
      <c r="J348" s="17">
        <v>44436</v>
      </c>
    </row>
    <row r="349" ht="20" customHeight="1" spans="1:10">
      <c r="A349" s="6">
        <v>4</v>
      </c>
      <c r="B349" s="7" t="str">
        <f t="shared" si="105"/>
        <v>016</v>
      </c>
      <c r="C349" s="7" t="str">
        <f>"魏影影"</f>
        <v>魏影影</v>
      </c>
      <c r="D349" s="7" t="str">
        <f>"20210165516"</f>
        <v>20210165516</v>
      </c>
      <c r="E349" s="7" t="str">
        <f t="shared" si="106"/>
        <v>55</v>
      </c>
      <c r="F349" s="7" t="str">
        <f>"16"</f>
        <v>16</v>
      </c>
      <c r="G349" s="8">
        <v>77.8</v>
      </c>
      <c r="H349" s="8">
        <v>85.2</v>
      </c>
      <c r="I349" s="8">
        <v>82.98</v>
      </c>
      <c r="J349" s="17">
        <v>44436</v>
      </c>
    </row>
    <row r="350" ht="20" customHeight="1" spans="1:10">
      <c r="A350" s="6">
        <v>5</v>
      </c>
      <c r="B350" s="7" t="str">
        <f t="shared" si="105"/>
        <v>016</v>
      </c>
      <c r="C350" s="7" t="str">
        <f>"陶宇宇"</f>
        <v>陶宇宇</v>
      </c>
      <c r="D350" s="7" t="str">
        <f>"20210165709"</f>
        <v>20210165709</v>
      </c>
      <c r="E350" s="7" t="str">
        <f>"57"</f>
        <v>57</v>
      </c>
      <c r="F350" s="7" t="str">
        <f>"09"</f>
        <v>09</v>
      </c>
      <c r="G350" s="8">
        <v>85</v>
      </c>
      <c r="H350" s="8">
        <v>80.7</v>
      </c>
      <c r="I350" s="8">
        <v>81.99</v>
      </c>
      <c r="J350" s="17">
        <v>44436</v>
      </c>
    </row>
    <row r="351" ht="20" customHeight="1" spans="1:10">
      <c r="A351" s="6">
        <v>6</v>
      </c>
      <c r="B351" s="7" t="str">
        <f t="shared" si="105"/>
        <v>016</v>
      </c>
      <c r="C351" s="7" t="str">
        <f>"周远远"</f>
        <v>周远远</v>
      </c>
      <c r="D351" s="7" t="str">
        <f>"20210165630"</f>
        <v>20210165630</v>
      </c>
      <c r="E351" s="7" t="str">
        <f t="shared" ref="E351:E355" si="107">"56"</f>
        <v>56</v>
      </c>
      <c r="F351" s="7" t="str">
        <f>"30"</f>
        <v>30</v>
      </c>
      <c r="G351" s="8">
        <v>86.2</v>
      </c>
      <c r="H351" s="8">
        <v>77.3</v>
      </c>
      <c r="I351" s="8">
        <v>79.97</v>
      </c>
      <c r="J351" s="17">
        <v>44436</v>
      </c>
    </row>
    <row r="352" ht="20" customHeight="1" spans="1:10">
      <c r="A352" s="6">
        <v>7</v>
      </c>
      <c r="B352" s="7" t="str">
        <f t="shared" si="105"/>
        <v>016</v>
      </c>
      <c r="C352" s="7" t="str">
        <f>"麴薇然"</f>
        <v>麴薇然</v>
      </c>
      <c r="D352" s="7" t="str">
        <f>"20210165505"</f>
        <v>20210165505</v>
      </c>
      <c r="E352" s="7" t="str">
        <f t="shared" si="106"/>
        <v>55</v>
      </c>
      <c r="F352" s="7" t="str">
        <f>"05"</f>
        <v>05</v>
      </c>
      <c r="G352" s="8">
        <v>72.8</v>
      </c>
      <c r="H352" s="8">
        <v>82.6</v>
      </c>
      <c r="I352" s="8">
        <v>79.66</v>
      </c>
      <c r="J352" s="17">
        <v>44436</v>
      </c>
    </row>
    <row r="353" ht="20" customHeight="1" spans="1:10">
      <c r="A353" s="6">
        <v>8</v>
      </c>
      <c r="B353" s="7" t="str">
        <f t="shared" si="105"/>
        <v>016</v>
      </c>
      <c r="C353" s="7" t="str">
        <f>"任文晴"</f>
        <v>任文晴</v>
      </c>
      <c r="D353" s="7" t="str">
        <f>"20210165621"</f>
        <v>20210165621</v>
      </c>
      <c r="E353" s="7" t="str">
        <f t="shared" si="107"/>
        <v>56</v>
      </c>
      <c r="F353" s="7" t="str">
        <f>"21"</f>
        <v>21</v>
      </c>
      <c r="G353" s="8">
        <v>81.5</v>
      </c>
      <c r="H353" s="8">
        <v>78.2</v>
      </c>
      <c r="I353" s="8">
        <v>79.19</v>
      </c>
      <c r="J353" s="17">
        <v>44436</v>
      </c>
    </row>
    <row r="354" ht="20" customHeight="1" spans="1:10">
      <c r="A354" s="6">
        <v>9</v>
      </c>
      <c r="B354" s="7" t="str">
        <f t="shared" si="105"/>
        <v>016</v>
      </c>
      <c r="C354" s="7" t="str">
        <f>"滑金兰"</f>
        <v>滑金兰</v>
      </c>
      <c r="D354" s="7" t="str">
        <f>"20210165623"</f>
        <v>20210165623</v>
      </c>
      <c r="E354" s="7" t="str">
        <f t="shared" si="107"/>
        <v>56</v>
      </c>
      <c r="F354" s="7" t="str">
        <f>"23"</f>
        <v>23</v>
      </c>
      <c r="G354" s="8">
        <v>82.9</v>
      </c>
      <c r="H354" s="8">
        <v>77.2</v>
      </c>
      <c r="I354" s="8">
        <v>78.91</v>
      </c>
      <c r="J354" s="17">
        <v>44436</v>
      </c>
    </row>
    <row r="355" ht="20" customHeight="1" spans="1:10">
      <c r="A355" s="6">
        <v>10</v>
      </c>
      <c r="B355" s="7" t="str">
        <f t="shared" si="105"/>
        <v>016</v>
      </c>
      <c r="C355" s="7" t="str">
        <f>"白雪"</f>
        <v>白雪</v>
      </c>
      <c r="D355" s="7" t="str">
        <f>"20210165609"</f>
        <v>20210165609</v>
      </c>
      <c r="E355" s="7" t="str">
        <f t="shared" si="107"/>
        <v>56</v>
      </c>
      <c r="F355" s="7" t="str">
        <f>"09"</f>
        <v>09</v>
      </c>
      <c r="G355" s="8">
        <v>78.8</v>
      </c>
      <c r="H355" s="8">
        <v>77.5</v>
      </c>
      <c r="I355" s="8">
        <v>77.89</v>
      </c>
      <c r="J355" s="17">
        <v>44436</v>
      </c>
    </row>
    <row r="356" ht="20" customHeight="1" spans="1:10">
      <c r="A356" s="6">
        <v>11</v>
      </c>
      <c r="B356" s="7" t="str">
        <f t="shared" si="105"/>
        <v>016</v>
      </c>
      <c r="C356" s="7" t="str">
        <f>"王潘"</f>
        <v>王潘</v>
      </c>
      <c r="D356" s="7" t="str">
        <f>"20210165529"</f>
        <v>20210165529</v>
      </c>
      <c r="E356" s="7" t="str">
        <f t="shared" ref="E356:E359" si="108">"55"</f>
        <v>55</v>
      </c>
      <c r="F356" s="7" t="str">
        <f>"29"</f>
        <v>29</v>
      </c>
      <c r="G356" s="8">
        <v>75.1</v>
      </c>
      <c r="H356" s="8">
        <v>78</v>
      </c>
      <c r="I356" s="8">
        <v>77.13</v>
      </c>
      <c r="J356" s="17">
        <v>44436</v>
      </c>
    </row>
    <row r="357" ht="20" customHeight="1" spans="1:10">
      <c r="A357" s="6">
        <v>12</v>
      </c>
      <c r="B357" s="7" t="str">
        <f t="shared" si="105"/>
        <v>016</v>
      </c>
      <c r="C357" s="7" t="str">
        <f>"金淑平"</f>
        <v>金淑平</v>
      </c>
      <c r="D357" s="7" t="str">
        <f>"20210165612"</f>
        <v>20210165612</v>
      </c>
      <c r="E357" s="7" t="str">
        <f>"56"</f>
        <v>56</v>
      </c>
      <c r="F357" s="7" t="str">
        <f>"12"</f>
        <v>12</v>
      </c>
      <c r="G357" s="8">
        <v>77.8</v>
      </c>
      <c r="H357" s="8">
        <v>76.3</v>
      </c>
      <c r="I357" s="8">
        <v>76.75</v>
      </c>
      <c r="J357" s="17">
        <v>44436</v>
      </c>
    </row>
    <row r="358" ht="20" customHeight="1" spans="1:10">
      <c r="A358" s="6">
        <v>13</v>
      </c>
      <c r="B358" s="7" t="str">
        <f t="shared" si="105"/>
        <v>016</v>
      </c>
      <c r="C358" s="7" t="str">
        <f>"昝真真"</f>
        <v>昝真真</v>
      </c>
      <c r="D358" s="7" t="str">
        <f>"20210165404"</f>
        <v>20210165404</v>
      </c>
      <c r="E358" s="7" t="str">
        <f t="shared" ref="E358" si="109">"54"</f>
        <v>54</v>
      </c>
      <c r="F358" s="7" t="str">
        <f>"04"</f>
        <v>04</v>
      </c>
      <c r="G358" s="8">
        <v>79.5</v>
      </c>
      <c r="H358" s="8">
        <v>74.7</v>
      </c>
      <c r="I358" s="8">
        <v>76.14</v>
      </c>
      <c r="J358" s="17">
        <v>44436</v>
      </c>
    </row>
    <row r="359" ht="20" customHeight="1" spans="1:10">
      <c r="A359" s="6">
        <v>14</v>
      </c>
      <c r="B359" s="7" t="str">
        <f t="shared" si="105"/>
        <v>016</v>
      </c>
      <c r="C359" s="7" t="str">
        <f>"张梅"</f>
        <v>张梅</v>
      </c>
      <c r="D359" s="7" t="str">
        <f>"20210165513"</f>
        <v>20210165513</v>
      </c>
      <c r="E359" s="7" t="str">
        <f t="shared" si="108"/>
        <v>55</v>
      </c>
      <c r="F359" s="7" t="str">
        <f>"13"</f>
        <v>13</v>
      </c>
      <c r="G359" s="8">
        <v>72.4</v>
      </c>
      <c r="H359" s="8">
        <v>76.9</v>
      </c>
      <c r="I359" s="8">
        <v>75.55</v>
      </c>
      <c r="J359" s="17">
        <v>44436</v>
      </c>
    </row>
    <row r="360" ht="20" customHeight="1" spans="1:10">
      <c r="A360" s="6">
        <v>15</v>
      </c>
      <c r="B360" s="7" t="str">
        <f t="shared" si="105"/>
        <v>016</v>
      </c>
      <c r="C360" s="7" t="str">
        <f>"赵东盼"</f>
        <v>赵东盼</v>
      </c>
      <c r="D360" s="7" t="str">
        <f>"20210165604"</f>
        <v>20210165604</v>
      </c>
      <c r="E360" s="7" t="str">
        <f>"56"</f>
        <v>56</v>
      </c>
      <c r="F360" s="7" t="str">
        <f>"04"</f>
        <v>04</v>
      </c>
      <c r="G360" s="8">
        <v>74.2</v>
      </c>
      <c r="H360" s="8">
        <v>76.1</v>
      </c>
      <c r="I360" s="8">
        <v>75.53</v>
      </c>
      <c r="J360" s="17">
        <v>44436</v>
      </c>
    </row>
    <row r="361" ht="20" customHeight="1" spans="1:10">
      <c r="A361" s="6">
        <v>16</v>
      </c>
      <c r="B361" s="7" t="str">
        <f t="shared" si="105"/>
        <v>016</v>
      </c>
      <c r="C361" s="7" t="str">
        <f>"徐若勤"</f>
        <v>徐若勤</v>
      </c>
      <c r="D361" s="7" t="str">
        <f>"20210165424"</f>
        <v>20210165424</v>
      </c>
      <c r="E361" s="7" t="str">
        <f>"54"</f>
        <v>54</v>
      </c>
      <c r="F361" s="7" t="str">
        <f>"24"</f>
        <v>24</v>
      </c>
      <c r="G361" s="8">
        <v>70.9</v>
      </c>
      <c r="H361" s="8">
        <v>77.1</v>
      </c>
      <c r="I361" s="8">
        <v>75.24</v>
      </c>
      <c r="J361" s="17">
        <v>44436</v>
      </c>
    </row>
    <row r="362" ht="20" customHeight="1" spans="1:10">
      <c r="A362" s="6">
        <v>17</v>
      </c>
      <c r="B362" s="7" t="str">
        <f t="shared" si="105"/>
        <v>016</v>
      </c>
      <c r="C362" s="7" t="str">
        <f>"崔梦帆"</f>
        <v>崔梦帆</v>
      </c>
      <c r="D362" s="7" t="str">
        <f>"20210165524"</f>
        <v>20210165524</v>
      </c>
      <c r="E362" s="7" t="str">
        <f t="shared" ref="E362:E364" si="110">"55"</f>
        <v>55</v>
      </c>
      <c r="F362" s="7" t="str">
        <f>"24"</f>
        <v>24</v>
      </c>
      <c r="G362" s="8">
        <v>82.7</v>
      </c>
      <c r="H362" s="8">
        <v>72</v>
      </c>
      <c r="I362" s="8">
        <v>75.21</v>
      </c>
      <c r="J362" s="17">
        <v>44436</v>
      </c>
    </row>
    <row r="363" ht="20" customHeight="1" spans="1:10">
      <c r="A363" s="6">
        <v>18</v>
      </c>
      <c r="B363" s="7" t="str">
        <f t="shared" si="105"/>
        <v>016</v>
      </c>
      <c r="C363" s="7" t="str">
        <f>"吴曼曼"</f>
        <v>吴曼曼</v>
      </c>
      <c r="D363" s="7" t="str">
        <f>"20210165616"</f>
        <v>20210165616</v>
      </c>
      <c r="E363" s="7" t="str">
        <f>"56"</f>
        <v>56</v>
      </c>
      <c r="F363" s="7" t="str">
        <f>"16"</f>
        <v>16</v>
      </c>
      <c r="G363" s="8">
        <v>75.8</v>
      </c>
      <c r="H363" s="8">
        <v>74.7</v>
      </c>
      <c r="I363" s="8">
        <v>75.03</v>
      </c>
      <c r="J363" s="17">
        <v>44436</v>
      </c>
    </row>
    <row r="364" ht="20" customHeight="1" spans="1:10">
      <c r="A364" s="6">
        <v>19</v>
      </c>
      <c r="B364" s="7" t="str">
        <f t="shared" si="105"/>
        <v>016</v>
      </c>
      <c r="C364" s="7" t="str">
        <f>"杨惠惠"</f>
        <v>杨惠惠</v>
      </c>
      <c r="D364" s="7" t="str">
        <f>"20210165510"</f>
        <v>20210165510</v>
      </c>
      <c r="E364" s="7" t="str">
        <f t="shared" si="110"/>
        <v>55</v>
      </c>
      <c r="F364" s="7" t="str">
        <f>"10"</f>
        <v>10</v>
      </c>
      <c r="G364" s="8">
        <v>75.8</v>
      </c>
      <c r="H364" s="8">
        <v>73.6</v>
      </c>
      <c r="I364" s="8">
        <v>74.26</v>
      </c>
      <c r="J364" s="17">
        <v>44436</v>
      </c>
    </row>
    <row r="365" ht="20" customHeight="1" spans="1:10">
      <c r="A365" s="6">
        <v>20</v>
      </c>
      <c r="B365" s="7" t="str">
        <f t="shared" si="105"/>
        <v>016</v>
      </c>
      <c r="C365" s="7" t="str">
        <f>"吴小芹"</f>
        <v>吴小芹</v>
      </c>
      <c r="D365" s="7" t="str">
        <f>"20210165415"</f>
        <v>20210165415</v>
      </c>
      <c r="E365" s="7" t="str">
        <f t="shared" ref="E365" si="111">"54"</f>
        <v>54</v>
      </c>
      <c r="F365" s="7" t="str">
        <f>"15"</f>
        <v>15</v>
      </c>
      <c r="G365" s="8">
        <v>76.4</v>
      </c>
      <c r="H365" s="8">
        <v>73.1</v>
      </c>
      <c r="I365" s="8">
        <v>74.09</v>
      </c>
      <c r="J365" s="17">
        <v>44436</v>
      </c>
    </row>
    <row r="366" ht="20" customHeight="1" spans="1:10">
      <c r="A366" s="6">
        <v>21</v>
      </c>
      <c r="B366" s="7" t="str">
        <f t="shared" si="105"/>
        <v>016</v>
      </c>
      <c r="C366" s="7" t="str">
        <f>"尚恩点"</f>
        <v>尚恩点</v>
      </c>
      <c r="D366" s="7" t="str">
        <f>"20210165530"</f>
        <v>20210165530</v>
      </c>
      <c r="E366" s="7" t="str">
        <f>"55"</f>
        <v>55</v>
      </c>
      <c r="F366" s="7" t="str">
        <f>"30"</f>
        <v>30</v>
      </c>
      <c r="G366" s="8">
        <v>75.4</v>
      </c>
      <c r="H366" s="8">
        <v>71.9</v>
      </c>
      <c r="I366" s="8">
        <v>72.95</v>
      </c>
      <c r="J366" s="17">
        <v>44436</v>
      </c>
    </row>
    <row r="367" ht="20" customHeight="1" spans="1:10">
      <c r="A367" s="6">
        <v>22</v>
      </c>
      <c r="B367" s="7" t="str">
        <f t="shared" si="105"/>
        <v>016</v>
      </c>
      <c r="C367" s="7" t="str">
        <f>"高晴利"</f>
        <v>高晴利</v>
      </c>
      <c r="D367" s="7" t="str">
        <f>"20210165330"</f>
        <v>20210165330</v>
      </c>
      <c r="E367" s="7" t="str">
        <f>"53"</f>
        <v>53</v>
      </c>
      <c r="F367" s="7" t="str">
        <f>"30"</f>
        <v>30</v>
      </c>
      <c r="G367" s="8">
        <v>70.6</v>
      </c>
      <c r="H367" s="8">
        <v>72.8</v>
      </c>
      <c r="I367" s="8">
        <v>72.14</v>
      </c>
      <c r="J367" s="17">
        <v>44436</v>
      </c>
    </row>
    <row r="368" ht="20" customHeight="1" spans="1:10">
      <c r="A368" s="6">
        <v>23</v>
      </c>
      <c r="B368" s="9" t="s">
        <v>54</v>
      </c>
      <c r="C368" s="10" t="str">
        <f>"时晨晨"</f>
        <v>时晨晨</v>
      </c>
      <c r="D368" s="10" t="str">
        <f>"20210165601"</f>
        <v>20210165601</v>
      </c>
      <c r="E368" s="10" t="str">
        <f t="shared" ref="E368" si="112">"56"</f>
        <v>56</v>
      </c>
      <c r="F368" s="10" t="str">
        <f>"01"</f>
        <v>01</v>
      </c>
      <c r="G368" s="11">
        <v>77.5</v>
      </c>
      <c r="H368" s="11">
        <v>69.1</v>
      </c>
      <c r="I368" s="11">
        <v>71.62</v>
      </c>
      <c r="J368" s="17">
        <v>44436</v>
      </c>
    </row>
    <row r="369" ht="20" customHeight="1" spans="1:10">
      <c r="A369" s="6">
        <v>24</v>
      </c>
      <c r="B369" s="9" t="s">
        <v>55</v>
      </c>
      <c r="C369" s="10" t="str">
        <f>"姚欣欣"</f>
        <v>姚欣欣</v>
      </c>
      <c r="D369" s="10" t="str">
        <f>"20210165525"</f>
        <v>20210165525</v>
      </c>
      <c r="E369" s="10" t="str">
        <f>"55"</f>
        <v>55</v>
      </c>
      <c r="F369" s="10" t="str">
        <f>"25"</f>
        <v>25</v>
      </c>
      <c r="G369" s="11">
        <v>73.5</v>
      </c>
      <c r="H369" s="11">
        <v>70.5</v>
      </c>
      <c r="I369" s="11">
        <v>71.4</v>
      </c>
      <c r="J369" s="17">
        <v>44436</v>
      </c>
    </row>
    <row r="370" ht="20" customHeight="1" spans="1:10">
      <c r="A370" s="6">
        <v>25</v>
      </c>
      <c r="B370" s="9" t="s">
        <v>55</v>
      </c>
      <c r="C370" s="10" t="str">
        <f>"张瑞"</f>
        <v>张瑞</v>
      </c>
      <c r="D370" s="10" t="str">
        <f>"20210165606"</f>
        <v>20210165606</v>
      </c>
      <c r="E370" s="10" t="str">
        <f t="shared" ref="E370:E371" si="113">"56"</f>
        <v>56</v>
      </c>
      <c r="F370" s="10" t="str">
        <f>"06"</f>
        <v>06</v>
      </c>
      <c r="G370" s="11">
        <v>78.9</v>
      </c>
      <c r="H370" s="11">
        <v>67.8</v>
      </c>
      <c r="I370" s="11">
        <v>71.13</v>
      </c>
      <c r="J370" s="17">
        <v>44436</v>
      </c>
    </row>
    <row r="371" ht="20" customHeight="1" spans="1:10">
      <c r="A371" s="6">
        <v>26</v>
      </c>
      <c r="B371" s="9" t="s">
        <v>55</v>
      </c>
      <c r="C371" s="10" t="str">
        <f>"巴浩然"</f>
        <v>巴浩然</v>
      </c>
      <c r="D371" s="10" t="str">
        <f>"20210165615"</f>
        <v>20210165615</v>
      </c>
      <c r="E371" s="10" t="str">
        <f t="shared" si="113"/>
        <v>56</v>
      </c>
      <c r="F371" s="10" t="str">
        <f>"15"</f>
        <v>15</v>
      </c>
      <c r="G371" s="11">
        <v>71.3</v>
      </c>
      <c r="H371" s="11">
        <v>70.1</v>
      </c>
      <c r="I371" s="11">
        <v>70.46</v>
      </c>
      <c r="J371" s="17">
        <v>44436</v>
      </c>
    </row>
    <row r="372" ht="20" customHeight="1" spans="1:10">
      <c r="A372" s="6">
        <v>27</v>
      </c>
      <c r="B372" s="16" t="s">
        <v>54</v>
      </c>
      <c r="C372" s="12" t="str">
        <f>"陈想想"</f>
        <v>陈想想</v>
      </c>
      <c r="D372" s="12" t="str">
        <f>"20210165423"</f>
        <v>20210165423</v>
      </c>
      <c r="E372" s="12" t="str">
        <f t="shared" ref="E372" si="114">"54"</f>
        <v>54</v>
      </c>
      <c r="F372" s="12" t="str">
        <f>"23"</f>
        <v>23</v>
      </c>
      <c r="G372" s="13">
        <v>76.6</v>
      </c>
      <c r="H372" s="13">
        <v>67.5</v>
      </c>
      <c r="I372" s="13">
        <v>70.23</v>
      </c>
      <c r="J372" s="17">
        <v>44436</v>
      </c>
    </row>
    <row r="373" ht="20" customHeight="1" spans="1:10">
      <c r="A373" s="6">
        <v>28</v>
      </c>
      <c r="B373" s="16" t="s">
        <v>54</v>
      </c>
      <c r="C373" s="12" t="str">
        <f>"田慧"</f>
        <v>田慧</v>
      </c>
      <c r="D373" s="12" t="str">
        <f>"20210165706"</f>
        <v>20210165706</v>
      </c>
      <c r="E373" s="12" t="str">
        <f>"57"</f>
        <v>57</v>
      </c>
      <c r="F373" s="12" t="str">
        <f>"06"</f>
        <v>06</v>
      </c>
      <c r="G373" s="13">
        <v>70.7</v>
      </c>
      <c r="H373" s="13">
        <v>69.9</v>
      </c>
      <c r="I373" s="13">
        <v>70.14</v>
      </c>
      <c r="J373" s="17">
        <v>44436</v>
      </c>
    </row>
  </sheetData>
  <mergeCells count="15">
    <mergeCell ref="A1:J1"/>
    <mergeCell ref="A2:J2"/>
    <mergeCell ref="A28:J28"/>
    <mergeCell ref="A54:J54"/>
    <mergeCell ref="A77:J77"/>
    <mergeCell ref="A109:J109"/>
    <mergeCell ref="A139:J139"/>
    <mergeCell ref="A171:J171"/>
    <mergeCell ref="A202:J202"/>
    <mergeCell ref="A225:J225"/>
    <mergeCell ref="A250:J250"/>
    <mergeCell ref="A274:J274"/>
    <mergeCell ref="A296:J296"/>
    <mergeCell ref="A322:J322"/>
    <mergeCell ref="A344:J344"/>
  </mergeCells>
  <pageMargins left="0.826388888888889" right="0.354166666666667" top="0.590277777777778" bottom="0.5902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Lenovo-3</cp:lastModifiedBy>
  <dcterms:created xsi:type="dcterms:W3CDTF">2021-07-12T03:01:00Z</dcterms:created>
  <cp:lastPrinted>2021-08-19T08:34:00Z</cp:lastPrinted>
  <dcterms:modified xsi:type="dcterms:W3CDTF">2021-08-19T10:09:40Z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BBF4F68258ED4930A697997374DBE11B</vt:lpwstr>
  </property>
  <property fmtid="{D5CDD505-2E9C-101B-9397-08002B2CF9AE}" pid="3" name="KSOProductBuildVer">
    <vt:lpwstr>2052-10.1.0.7698</vt:lpwstr>
  </property>
</Properties>
</file>