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11040" activeTab="2"/>
  </bookViews>
  <sheets>
    <sheet name="幼儿教师1" sheetId="3" r:id="rId1"/>
    <sheet name="体育教师" sheetId="4" r:id="rId2"/>
    <sheet name="公布表" sheetId="5" r:id="rId3"/>
  </sheets>
  <calcPr calcId="125725"/>
</workbook>
</file>

<file path=xl/calcChain.xml><?xml version="1.0" encoding="utf-8"?>
<calcChain xmlns="http://schemas.openxmlformats.org/spreadsheetml/2006/main">
  <c r="L14" i="5"/>
  <c r="K14"/>
  <c r="J14"/>
  <c r="I14"/>
  <c r="H14"/>
  <c r="G14"/>
  <c r="F14"/>
  <c r="E14"/>
  <c r="D14"/>
  <c r="C14"/>
  <c r="M13"/>
  <c r="L13"/>
  <c r="K13"/>
  <c r="J13"/>
  <c r="I13"/>
  <c r="H13"/>
  <c r="G13"/>
  <c r="F13"/>
  <c r="E13"/>
  <c r="D13"/>
  <c r="C13"/>
  <c r="M12"/>
  <c r="L12"/>
  <c r="K12"/>
  <c r="J12"/>
  <c r="I12"/>
  <c r="H12"/>
  <c r="G12"/>
  <c r="F12"/>
  <c r="E12"/>
  <c r="D12"/>
  <c r="C12"/>
  <c r="M8"/>
  <c r="L8"/>
  <c r="K8"/>
  <c r="J8"/>
  <c r="I8"/>
  <c r="H8"/>
  <c r="G8"/>
  <c r="F8"/>
  <c r="D8"/>
  <c r="C8"/>
  <c r="M7"/>
  <c r="L7"/>
  <c r="K7"/>
  <c r="J7"/>
  <c r="I7"/>
  <c r="H7"/>
  <c r="G7"/>
  <c r="F7"/>
  <c r="D7"/>
  <c r="C7"/>
  <c r="M6"/>
  <c r="L6"/>
  <c r="K6"/>
  <c r="J6"/>
  <c r="I6"/>
  <c r="H6"/>
  <c r="G6"/>
  <c r="F6"/>
  <c r="D6"/>
  <c r="C6"/>
  <c r="K19" i="4"/>
  <c r="J19"/>
  <c r="I19"/>
  <c r="H19"/>
  <c r="G19"/>
  <c r="F19"/>
  <c r="E19"/>
  <c r="D19"/>
  <c r="K18"/>
  <c r="J18"/>
  <c r="I18"/>
  <c r="H18"/>
  <c r="G18"/>
  <c r="F18"/>
  <c r="E18"/>
  <c r="D18"/>
  <c r="K17"/>
  <c r="J17"/>
  <c r="I17"/>
  <c r="H17"/>
  <c r="G17"/>
  <c r="F17"/>
  <c r="E17"/>
  <c r="D17"/>
  <c r="K16"/>
  <c r="J16"/>
  <c r="I16"/>
  <c r="H16"/>
  <c r="G16"/>
  <c r="F16"/>
  <c r="E16"/>
  <c r="D16"/>
  <c r="L15"/>
  <c r="K15"/>
  <c r="J15"/>
  <c r="I15"/>
  <c r="H15"/>
  <c r="G15"/>
  <c r="F15"/>
  <c r="E15"/>
  <c r="D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H9"/>
  <c r="G9"/>
  <c r="F9"/>
  <c r="E9"/>
  <c r="D9"/>
  <c r="K8"/>
  <c r="J8"/>
  <c r="I8"/>
  <c r="H8"/>
  <c r="G8"/>
  <c r="F8"/>
  <c r="E8"/>
  <c r="D8"/>
  <c r="K7"/>
  <c r="J7"/>
  <c r="I7"/>
  <c r="H7"/>
  <c r="G7"/>
  <c r="F7"/>
  <c r="E7"/>
  <c r="D7"/>
  <c r="K6"/>
  <c r="J6"/>
  <c r="I6"/>
  <c r="H6"/>
  <c r="G6"/>
  <c r="F6"/>
  <c r="E6"/>
  <c r="D6"/>
  <c r="L5"/>
  <c r="K5"/>
  <c r="J5"/>
  <c r="I5"/>
  <c r="H5"/>
  <c r="G5"/>
  <c r="F5"/>
  <c r="E5"/>
  <c r="D5"/>
  <c r="K19" i="3"/>
  <c r="J19"/>
  <c r="I19"/>
  <c r="H19"/>
  <c r="G19"/>
  <c r="F19"/>
  <c r="E19"/>
  <c r="D19"/>
  <c r="K18"/>
  <c r="J18"/>
  <c r="I18"/>
  <c r="H18"/>
  <c r="G18"/>
  <c r="F18"/>
  <c r="E18"/>
  <c r="D18"/>
  <c r="K17"/>
  <c r="J17"/>
  <c r="I17"/>
  <c r="H17"/>
  <c r="G17"/>
  <c r="F17"/>
  <c r="E17"/>
  <c r="D17"/>
  <c r="K16"/>
  <c r="L15"/>
  <c r="K15"/>
  <c r="J15"/>
  <c r="I15"/>
  <c r="H15"/>
  <c r="G15"/>
  <c r="F15"/>
  <c r="E15"/>
  <c r="D15"/>
  <c r="K14"/>
  <c r="J14"/>
  <c r="I14"/>
  <c r="H14"/>
  <c r="G14"/>
  <c r="F14"/>
  <c r="E14"/>
  <c r="D14"/>
  <c r="K13"/>
  <c r="J13"/>
  <c r="I13"/>
  <c r="H13"/>
  <c r="G13"/>
  <c r="F13"/>
  <c r="E13"/>
  <c r="D13"/>
  <c r="K12"/>
  <c r="J12"/>
  <c r="I12"/>
  <c r="H12"/>
  <c r="G12"/>
  <c r="F12"/>
  <c r="E12"/>
  <c r="D12"/>
  <c r="K11"/>
  <c r="L10"/>
  <c r="K10"/>
  <c r="J10"/>
  <c r="I10"/>
  <c r="H10"/>
  <c r="G10"/>
  <c r="F10"/>
  <c r="E10"/>
  <c r="D10"/>
  <c r="K9"/>
  <c r="J9"/>
  <c r="I9"/>
  <c r="H9"/>
  <c r="G9"/>
  <c r="F9"/>
  <c r="E9"/>
  <c r="D9"/>
  <c r="K8"/>
  <c r="J8"/>
  <c r="I8"/>
  <c r="H8"/>
  <c r="G8"/>
  <c r="F8"/>
  <c r="E8"/>
  <c r="D8"/>
  <c r="K7"/>
  <c r="J7"/>
  <c r="I7"/>
  <c r="H7"/>
  <c r="G7"/>
  <c r="F7"/>
  <c r="E7"/>
  <c r="D7"/>
  <c r="K6"/>
  <c r="L5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<sst xmlns="http://schemas.openxmlformats.org/spreadsheetml/2006/main" count="134" uniqueCount="47">
  <si>
    <t>楚雄州幼儿园2020年公开招聘教师专业素质考试成绩统计表</t>
  </si>
  <si>
    <t>考生序号</t>
  </si>
  <si>
    <t>考生姓名</t>
  </si>
  <si>
    <t>考试内容</t>
  </si>
  <si>
    <t>考官评分</t>
  </si>
  <si>
    <t>综合成绩</t>
  </si>
  <si>
    <t>成绩排序</t>
  </si>
  <si>
    <t>1号考官</t>
  </si>
  <si>
    <t>2号考官</t>
  </si>
  <si>
    <t>3号考官</t>
  </si>
  <si>
    <t>4号考官</t>
  </si>
  <si>
    <t>5号考官</t>
  </si>
  <si>
    <t>分数合计</t>
  </si>
  <si>
    <t>平均分</t>
  </si>
  <si>
    <t>折后分</t>
  </si>
  <si>
    <t>得分</t>
  </si>
  <si>
    <t>杨灼梅</t>
  </si>
  <si>
    <t>集中教育活动</t>
  </si>
  <si>
    <t>专业理论知识测试</t>
  </si>
  <si>
    <t>绘画</t>
  </si>
  <si>
    <t>音乐</t>
  </si>
  <si>
    <t>舞蹈</t>
  </si>
  <si>
    <t>王新玥</t>
  </si>
  <si>
    <t>李明钰</t>
  </si>
  <si>
    <t>侯祺伟</t>
  </si>
  <si>
    <t>唱歌</t>
  </si>
  <si>
    <t>现场教学</t>
  </si>
  <si>
    <t>施春荣</t>
  </si>
  <si>
    <t>缺考</t>
  </si>
  <si>
    <t>黎思真</t>
  </si>
  <si>
    <t>附件</t>
  </si>
  <si>
    <t>报考岗位</t>
  </si>
  <si>
    <t>姓名</t>
  </si>
  <si>
    <t>考试内容及得分</t>
  </si>
  <si>
    <t>专业素质考试
综合成绩</t>
  </si>
  <si>
    <t>成绩排名</t>
  </si>
  <si>
    <t>集中教育
活动 50%</t>
  </si>
  <si>
    <t>专业理论
知识测试 15%</t>
  </si>
  <si>
    <t>绘画 10%</t>
  </si>
  <si>
    <t>音乐 15%</t>
  </si>
  <si>
    <t>舞蹈 10%</t>
  </si>
  <si>
    <t>幼儿教师</t>
  </si>
  <si>
    <t>绘画 5%</t>
  </si>
  <si>
    <t>唱歌 5%</t>
  </si>
  <si>
    <t>现场教学 30%</t>
  </si>
  <si>
    <t>体育教师</t>
  </si>
  <si>
    <t>楚雄州幼儿园2020年公开招聘教师专业素质考试成绩汇总表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</si>
</sst>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;[Red]\-0.00\ "/>
  </numFmts>
  <fonts count="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M15" sqref="M15:M19"/>
    </sheetView>
  </sheetViews>
  <sheetFormatPr defaultColWidth="9" defaultRowHeight="13.5"/>
  <cols>
    <col min="1" max="1" width="5.25" customWidth="1"/>
    <col min="2" max="2" width="12.875" customWidth="1"/>
    <col min="3" max="3" width="21.125" customWidth="1"/>
    <col min="4" max="8" width="8.625" customWidth="1"/>
    <col min="9" max="9" width="10.375" customWidth="1"/>
    <col min="10" max="11" width="10.375" style="9" customWidth="1"/>
    <col min="12" max="12" width="11.625" customWidth="1"/>
    <col min="13" max="13" width="10.75" customWidth="1"/>
  </cols>
  <sheetData>
    <row r="1" spans="1:13" ht="6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21"/>
      <c r="L1" s="20"/>
      <c r="M1" s="20"/>
    </row>
    <row r="2" spans="1:13" ht="24" customHeight="1">
      <c r="A2" s="23" t="s">
        <v>1</v>
      </c>
      <c r="B2" s="19" t="s">
        <v>2</v>
      </c>
      <c r="C2" s="19" t="s">
        <v>3</v>
      </c>
      <c r="D2" s="19" t="s">
        <v>4</v>
      </c>
      <c r="E2" s="19"/>
      <c r="F2" s="19"/>
      <c r="G2" s="19"/>
      <c r="H2" s="19"/>
      <c r="I2" s="19"/>
      <c r="J2" s="22"/>
      <c r="K2" s="22"/>
      <c r="L2" s="19" t="s">
        <v>5</v>
      </c>
      <c r="M2" s="19" t="s">
        <v>6</v>
      </c>
    </row>
    <row r="3" spans="1:13" ht="29.1" customHeight="1">
      <c r="A3" s="23"/>
      <c r="B3" s="19"/>
      <c r="C3" s="19"/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6" t="s">
        <v>12</v>
      </c>
      <c r="J3" s="22" t="s">
        <v>13</v>
      </c>
      <c r="K3" s="22" t="s">
        <v>14</v>
      </c>
      <c r="L3" s="19"/>
      <c r="M3" s="19"/>
    </row>
    <row r="4" spans="1:13" ht="30" customHeight="1">
      <c r="A4" s="23"/>
      <c r="B4" s="19"/>
      <c r="C4" s="19"/>
      <c r="D4" s="10" t="s">
        <v>15</v>
      </c>
      <c r="E4" s="10" t="s">
        <v>15</v>
      </c>
      <c r="F4" s="10" t="s">
        <v>15</v>
      </c>
      <c r="G4" s="10" t="s">
        <v>15</v>
      </c>
      <c r="H4" s="10" t="s">
        <v>15</v>
      </c>
      <c r="I4" s="18"/>
      <c r="J4" s="22"/>
      <c r="K4" s="22"/>
      <c r="L4" s="19"/>
      <c r="M4" s="19"/>
    </row>
    <row r="5" spans="1:13" ht="21" customHeight="1">
      <c r="A5" s="19">
        <v>1</v>
      </c>
      <c r="B5" s="19" t="s">
        <v>16</v>
      </c>
      <c r="C5" s="10" t="s">
        <v>17</v>
      </c>
      <c r="D5" s="10">
        <f>18+16+17+18+19</f>
        <v>88</v>
      </c>
      <c r="E5" s="10">
        <f>16+16+16+15+17</f>
        <v>80</v>
      </c>
      <c r="F5" s="10">
        <f>17+16+15+15+17</f>
        <v>80</v>
      </c>
      <c r="G5" s="10">
        <f>15+15+12+12+10</f>
        <v>64</v>
      </c>
      <c r="H5" s="10">
        <f>12+17+11+11+10</f>
        <v>61</v>
      </c>
      <c r="I5" s="10">
        <f>SUM(D5:H5)</f>
        <v>373</v>
      </c>
      <c r="J5" s="12">
        <f>I5/5</f>
        <v>74.599999999999994</v>
      </c>
      <c r="K5" s="12">
        <f>J5*50%</f>
        <v>37.299999999999997</v>
      </c>
      <c r="L5" s="16">
        <f>SUM(K5:K9)</f>
        <v>69.92</v>
      </c>
      <c r="M5" s="19">
        <v>3</v>
      </c>
    </row>
    <row r="6" spans="1:13" ht="21" customHeight="1">
      <c r="A6" s="19"/>
      <c r="B6" s="19"/>
      <c r="C6" s="10" t="s">
        <v>18</v>
      </c>
      <c r="D6" s="14"/>
      <c r="E6" s="14"/>
      <c r="F6" s="14"/>
      <c r="G6" s="14"/>
      <c r="H6" s="14"/>
      <c r="I6" s="10">
        <v>65</v>
      </c>
      <c r="J6" s="12"/>
      <c r="K6" s="12">
        <f>I6*15%</f>
        <v>9.75</v>
      </c>
      <c r="L6" s="17"/>
      <c r="M6" s="19"/>
    </row>
    <row r="7" spans="1:13" ht="21" customHeight="1">
      <c r="A7" s="19"/>
      <c r="B7" s="19"/>
      <c r="C7" s="10" t="s">
        <v>19</v>
      </c>
      <c r="D7" s="10">
        <f>16+18+18+16</f>
        <v>68</v>
      </c>
      <c r="E7" s="10">
        <f>17+18+18+17</f>
        <v>70</v>
      </c>
      <c r="F7" s="10">
        <f>16+18+18+17</f>
        <v>69</v>
      </c>
      <c r="G7" s="10">
        <f>15+15+15+15</f>
        <v>60</v>
      </c>
      <c r="H7" s="10">
        <f>15+16+15+15</f>
        <v>61</v>
      </c>
      <c r="I7" s="10">
        <f t="shared" ref="I7:I19" si="0">SUM(D7:H7)</f>
        <v>328</v>
      </c>
      <c r="J7" s="12">
        <f t="shared" ref="J7:J19" si="1">I7/5</f>
        <v>65.599999999999994</v>
      </c>
      <c r="K7" s="12">
        <f t="shared" ref="K7:K12" si="2">J7*10%</f>
        <v>6.56</v>
      </c>
      <c r="L7" s="17"/>
      <c r="M7" s="19"/>
    </row>
    <row r="8" spans="1:13" ht="21" customHeight="1">
      <c r="A8" s="19"/>
      <c r="B8" s="19"/>
      <c r="C8" s="10" t="s">
        <v>20</v>
      </c>
      <c r="D8" s="10">
        <f>16+17+17+17+18</f>
        <v>85</v>
      </c>
      <c r="E8" s="10">
        <f>11+11+10+10+10</f>
        <v>52</v>
      </c>
      <c r="F8" s="10">
        <f>17+17+18+16+15</f>
        <v>83</v>
      </c>
      <c r="G8" s="10">
        <f>8+10+15+10+10</f>
        <v>53</v>
      </c>
      <c r="H8" s="10">
        <f>11+11+10+10+10</f>
        <v>52</v>
      </c>
      <c r="I8" s="10">
        <f t="shared" si="0"/>
        <v>325</v>
      </c>
      <c r="J8" s="12">
        <f t="shared" si="1"/>
        <v>65</v>
      </c>
      <c r="K8" s="12">
        <f>J8*15%</f>
        <v>9.75</v>
      </c>
      <c r="L8" s="17"/>
      <c r="M8" s="19"/>
    </row>
    <row r="9" spans="1:13" ht="21" customHeight="1">
      <c r="A9" s="19"/>
      <c r="B9" s="19"/>
      <c r="C9" s="10" t="s">
        <v>21</v>
      </c>
      <c r="D9" s="10">
        <f>19+17+25+17+9</f>
        <v>87</v>
      </c>
      <c r="E9" s="10">
        <f>17+16+15+15+15</f>
        <v>78</v>
      </c>
      <c r="F9" s="10">
        <f>14+14+18+13+6</f>
        <v>65</v>
      </c>
      <c r="G9" s="10">
        <f>10+10+15+10+5</f>
        <v>50</v>
      </c>
      <c r="H9" s="10">
        <f>11+10+12+10+5</f>
        <v>48</v>
      </c>
      <c r="I9" s="10">
        <f t="shared" si="0"/>
        <v>328</v>
      </c>
      <c r="J9" s="12">
        <f t="shared" si="1"/>
        <v>65.599999999999994</v>
      </c>
      <c r="K9" s="12">
        <f t="shared" si="2"/>
        <v>6.56</v>
      </c>
      <c r="L9" s="18"/>
      <c r="M9" s="19"/>
    </row>
    <row r="10" spans="1:13" ht="21" customHeight="1">
      <c r="A10" s="19">
        <v>5</v>
      </c>
      <c r="B10" s="19" t="s">
        <v>22</v>
      </c>
      <c r="C10" s="10" t="s">
        <v>17</v>
      </c>
      <c r="D10" s="10">
        <f>18+18+16+16+18</f>
        <v>86</v>
      </c>
      <c r="E10" s="10">
        <f>14+15+14+14+14</f>
        <v>71</v>
      </c>
      <c r="F10" s="10">
        <f>19+18+18+18+18</f>
        <v>91</v>
      </c>
      <c r="G10" s="10">
        <f>16+17+16+16+17</f>
        <v>82</v>
      </c>
      <c r="H10" s="10">
        <f>16+17+15+15+14</f>
        <v>77</v>
      </c>
      <c r="I10" s="10">
        <f t="shared" si="0"/>
        <v>407</v>
      </c>
      <c r="J10" s="12">
        <f t="shared" si="1"/>
        <v>81.400000000000006</v>
      </c>
      <c r="K10" s="12">
        <f>J10*50%</f>
        <v>40.700000000000003</v>
      </c>
      <c r="L10" s="16">
        <f>SUM(K10:K14)</f>
        <v>76.83</v>
      </c>
      <c r="M10" s="19">
        <v>1</v>
      </c>
    </row>
    <row r="11" spans="1:13" ht="21" customHeight="1">
      <c r="A11" s="19"/>
      <c r="B11" s="19"/>
      <c r="C11" s="10" t="s">
        <v>18</v>
      </c>
      <c r="D11" s="14"/>
      <c r="E11" s="14"/>
      <c r="F11" s="14"/>
      <c r="G11" s="14"/>
      <c r="H11" s="14"/>
      <c r="I11" s="10">
        <v>65</v>
      </c>
      <c r="J11" s="12"/>
      <c r="K11" s="12">
        <f>I11*15%</f>
        <v>9.75</v>
      </c>
      <c r="L11" s="17"/>
      <c r="M11" s="19"/>
    </row>
    <row r="12" spans="1:13" ht="21" customHeight="1">
      <c r="A12" s="19"/>
      <c r="B12" s="19"/>
      <c r="C12" s="10" t="s">
        <v>19</v>
      </c>
      <c r="D12" s="10">
        <f>20+18+20+19</f>
        <v>77</v>
      </c>
      <c r="E12" s="10">
        <f>21+23+23+21</f>
        <v>88</v>
      </c>
      <c r="F12" s="10">
        <f>21+22+23+22</f>
        <v>88</v>
      </c>
      <c r="G12" s="10">
        <f>21+22+22+20</f>
        <v>85</v>
      </c>
      <c r="H12" s="10">
        <f>20+21+21+21</f>
        <v>83</v>
      </c>
      <c r="I12" s="10">
        <f t="shared" si="0"/>
        <v>421</v>
      </c>
      <c r="J12" s="12">
        <f t="shared" si="1"/>
        <v>84.2</v>
      </c>
      <c r="K12" s="12">
        <f t="shared" si="2"/>
        <v>8.42</v>
      </c>
      <c r="L12" s="17"/>
      <c r="M12" s="19"/>
    </row>
    <row r="13" spans="1:13" ht="21" customHeight="1">
      <c r="A13" s="19"/>
      <c r="B13" s="19"/>
      <c r="C13" s="10" t="s">
        <v>20</v>
      </c>
      <c r="D13" s="10">
        <f>15+15+17+17+17</f>
        <v>81</v>
      </c>
      <c r="E13" s="10">
        <f>10+10+10+10+10</f>
        <v>50</v>
      </c>
      <c r="F13" s="10">
        <f>16+16+17+17+15</f>
        <v>81</v>
      </c>
      <c r="G13" s="10">
        <f>8+10+15+11+11</f>
        <v>55</v>
      </c>
      <c r="H13" s="10">
        <f>10+9+10+10+10</f>
        <v>49</v>
      </c>
      <c r="I13" s="10">
        <f t="shared" si="0"/>
        <v>316</v>
      </c>
      <c r="J13" s="12">
        <f t="shared" si="1"/>
        <v>63.2</v>
      </c>
      <c r="K13" s="12">
        <f>J13*15%</f>
        <v>9.48</v>
      </c>
      <c r="L13" s="17"/>
      <c r="M13" s="19"/>
    </row>
    <row r="14" spans="1:13" ht="21" customHeight="1">
      <c r="A14" s="19"/>
      <c r="B14" s="19"/>
      <c r="C14" s="10" t="s">
        <v>21</v>
      </c>
      <c r="D14" s="10">
        <f>19+18+28+18+9</f>
        <v>92</v>
      </c>
      <c r="E14" s="10">
        <f>18+18+17+17+17</f>
        <v>87</v>
      </c>
      <c r="F14" s="10">
        <f>18+18+22+18+8</f>
        <v>84</v>
      </c>
      <c r="G14" s="10">
        <f>15+16+24+15+8</f>
        <v>78</v>
      </c>
      <c r="H14" s="10">
        <f>17+17+24+17+8</f>
        <v>83</v>
      </c>
      <c r="I14" s="10">
        <f t="shared" si="0"/>
        <v>424</v>
      </c>
      <c r="J14" s="12">
        <f t="shared" si="1"/>
        <v>84.8</v>
      </c>
      <c r="K14" s="12">
        <f t="shared" ref="K14:K19" si="3">J14*10%</f>
        <v>8.48</v>
      </c>
      <c r="L14" s="18"/>
      <c r="M14" s="19"/>
    </row>
    <row r="15" spans="1:13" ht="21" customHeight="1">
      <c r="A15" s="19">
        <v>6</v>
      </c>
      <c r="B15" s="19" t="s">
        <v>23</v>
      </c>
      <c r="C15" s="10" t="s">
        <v>17</v>
      </c>
      <c r="D15" s="10">
        <f>16+16+15+16+15</f>
        <v>78</v>
      </c>
      <c r="E15" s="10">
        <f>17+17+15+15+17</f>
        <v>81</v>
      </c>
      <c r="F15" s="10">
        <f>17+17+17+16+17</f>
        <v>84</v>
      </c>
      <c r="G15" s="10">
        <f>15+15+12+12+12</f>
        <v>66</v>
      </c>
      <c r="H15" s="10">
        <f>13+16+14+14+12</f>
        <v>69</v>
      </c>
      <c r="I15" s="10">
        <f t="shared" si="0"/>
        <v>378</v>
      </c>
      <c r="J15" s="12">
        <f t="shared" si="1"/>
        <v>75.599999999999994</v>
      </c>
      <c r="K15" s="12">
        <f>J15*50%</f>
        <v>37.799999999999997</v>
      </c>
      <c r="L15" s="16">
        <f>SUM(K15:K19)</f>
        <v>71.44</v>
      </c>
      <c r="M15" s="19">
        <v>2</v>
      </c>
    </row>
    <row r="16" spans="1:13" ht="21" customHeight="1">
      <c r="A16" s="19"/>
      <c r="B16" s="19"/>
      <c r="C16" s="10" t="s">
        <v>18</v>
      </c>
      <c r="D16" s="14"/>
      <c r="E16" s="14"/>
      <c r="F16" s="14"/>
      <c r="G16" s="14"/>
      <c r="H16" s="14"/>
      <c r="I16" s="10">
        <v>55</v>
      </c>
      <c r="J16" s="12"/>
      <c r="K16" s="12">
        <f>I16*15%</f>
        <v>8.25</v>
      </c>
      <c r="L16" s="17"/>
      <c r="M16" s="19"/>
    </row>
    <row r="17" spans="1:13" ht="21" customHeight="1">
      <c r="A17" s="19"/>
      <c r="B17" s="19"/>
      <c r="C17" s="10" t="s">
        <v>19</v>
      </c>
      <c r="D17" s="10">
        <f>18+18+20+15</f>
        <v>71</v>
      </c>
      <c r="E17" s="10">
        <f>19+19+19+18</f>
        <v>75</v>
      </c>
      <c r="F17" s="10">
        <f>20+21+20+20</f>
        <v>81</v>
      </c>
      <c r="G17" s="10">
        <f>18+19+20+18</f>
        <v>75</v>
      </c>
      <c r="H17" s="10">
        <f>17+17+16+16</f>
        <v>66</v>
      </c>
      <c r="I17" s="10">
        <f t="shared" si="0"/>
        <v>368</v>
      </c>
      <c r="J17" s="12">
        <f t="shared" si="1"/>
        <v>73.599999999999994</v>
      </c>
      <c r="K17" s="12">
        <f t="shared" si="3"/>
        <v>7.36</v>
      </c>
      <c r="L17" s="17"/>
      <c r="M17" s="19"/>
    </row>
    <row r="18" spans="1:13" ht="21" customHeight="1">
      <c r="A18" s="19"/>
      <c r="B18" s="19"/>
      <c r="C18" s="10" t="s">
        <v>20</v>
      </c>
      <c r="D18" s="10">
        <f>14+14+17+16+16</f>
        <v>77</v>
      </c>
      <c r="E18" s="10">
        <f>15+14+13+13+13</f>
        <v>68</v>
      </c>
      <c r="F18" s="15">
        <f>17+18+18+17+16</f>
        <v>86</v>
      </c>
      <c r="G18" s="10">
        <f>10+10+16+13+12</f>
        <v>61</v>
      </c>
      <c r="H18" s="10">
        <f>12+12+12+14+11</f>
        <v>61</v>
      </c>
      <c r="I18" s="10">
        <f t="shared" si="0"/>
        <v>353</v>
      </c>
      <c r="J18" s="12">
        <f t="shared" si="1"/>
        <v>70.599999999999994</v>
      </c>
      <c r="K18" s="12">
        <f>J18*15%</f>
        <v>10.59</v>
      </c>
      <c r="L18" s="17"/>
      <c r="M18" s="19"/>
    </row>
    <row r="19" spans="1:13" ht="21" customHeight="1">
      <c r="A19" s="19"/>
      <c r="B19" s="19"/>
      <c r="C19" s="10" t="s">
        <v>21</v>
      </c>
      <c r="D19" s="10">
        <f>18+17+25+17+8</f>
        <v>85</v>
      </c>
      <c r="E19" s="10">
        <f>17+16+16+16+16</f>
        <v>81</v>
      </c>
      <c r="F19" s="10">
        <f>18+18+21+18+8</f>
        <v>83</v>
      </c>
      <c r="G19" s="10">
        <f>13+14+16+13+6</f>
        <v>62</v>
      </c>
      <c r="H19" s="10">
        <f>13+15+15+12+6</f>
        <v>61</v>
      </c>
      <c r="I19" s="10">
        <f t="shared" si="0"/>
        <v>372</v>
      </c>
      <c r="J19" s="12">
        <f t="shared" si="1"/>
        <v>74.400000000000006</v>
      </c>
      <c r="K19" s="12">
        <f t="shared" si="3"/>
        <v>7.44</v>
      </c>
      <c r="L19" s="18"/>
      <c r="M19" s="19"/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3"/>
    </row>
    <row r="21" spans="1:13">
      <c r="A21" s="11"/>
      <c r="B21" s="11"/>
      <c r="C21" s="11"/>
      <c r="D21" s="11"/>
      <c r="E21" s="11"/>
      <c r="F21" s="11"/>
      <c r="G21" s="11"/>
      <c r="H21" s="11"/>
      <c r="I21" s="11"/>
      <c r="J21" s="13"/>
    </row>
    <row r="22" spans="1:13">
      <c r="A22" s="11"/>
      <c r="B22" s="11"/>
      <c r="C22" s="11"/>
      <c r="D22" s="11"/>
      <c r="E22" s="11"/>
      <c r="F22" s="11"/>
      <c r="G22" s="11"/>
      <c r="H22" s="11"/>
      <c r="I22" s="11"/>
      <c r="J22" s="13"/>
    </row>
    <row r="23" spans="1:13">
      <c r="A23" s="11"/>
      <c r="B23" s="11"/>
      <c r="C23" s="11"/>
      <c r="D23" s="11"/>
      <c r="E23" s="11"/>
      <c r="F23" s="11"/>
      <c r="G23" s="11"/>
      <c r="H23" s="11"/>
      <c r="I23" s="11"/>
      <c r="J23" s="13"/>
    </row>
    <row r="24" spans="1:13">
      <c r="A24" s="11"/>
      <c r="B24" s="11"/>
      <c r="C24" s="11"/>
      <c r="D24" s="11"/>
      <c r="E24" s="11"/>
      <c r="F24" s="11"/>
      <c r="G24" s="11"/>
      <c r="H24" s="11"/>
      <c r="I24" s="11"/>
      <c r="J24" s="13"/>
    </row>
    <row r="25" spans="1:13">
      <c r="A25" s="11"/>
      <c r="B25" s="11"/>
      <c r="C25" s="11"/>
      <c r="D25" s="11"/>
      <c r="E25" s="11"/>
      <c r="F25" s="11"/>
      <c r="G25" s="11"/>
      <c r="H25" s="11"/>
      <c r="I25" s="11"/>
      <c r="J25" s="13"/>
    </row>
    <row r="26" spans="1:13">
      <c r="A26" s="11"/>
      <c r="B26" s="11"/>
      <c r="C26" s="11"/>
      <c r="D26" s="11"/>
      <c r="E26" s="11"/>
      <c r="F26" s="11"/>
      <c r="G26" s="11"/>
      <c r="H26" s="11"/>
      <c r="I26" s="11"/>
      <c r="J26" s="13"/>
    </row>
    <row r="27" spans="1:13">
      <c r="A27" s="11"/>
      <c r="B27" s="11"/>
      <c r="C27" s="11"/>
      <c r="D27" s="11"/>
      <c r="E27" s="11"/>
      <c r="F27" s="11"/>
      <c r="G27" s="11"/>
      <c r="H27" s="11"/>
      <c r="I27" s="11"/>
      <c r="J27" s="13"/>
    </row>
    <row r="28" spans="1:13">
      <c r="A28" s="11"/>
      <c r="B28" s="11"/>
      <c r="C28" s="11"/>
      <c r="D28" s="11"/>
      <c r="E28" s="11"/>
      <c r="F28" s="11"/>
      <c r="G28" s="11"/>
      <c r="H28" s="11"/>
      <c r="I28" s="11"/>
      <c r="J28" s="13"/>
    </row>
    <row r="29" spans="1:13">
      <c r="A29" s="11"/>
      <c r="B29" s="11"/>
      <c r="C29" s="11"/>
      <c r="D29" s="11"/>
      <c r="E29" s="11"/>
      <c r="F29" s="11"/>
      <c r="G29" s="11"/>
      <c r="H29" s="11"/>
      <c r="I29" s="11"/>
      <c r="J29" s="13"/>
    </row>
    <row r="30" spans="1:13">
      <c r="A30" s="11"/>
      <c r="B30" s="11"/>
      <c r="C30" s="11"/>
      <c r="D30" s="11"/>
      <c r="E30" s="11"/>
      <c r="F30" s="11"/>
      <c r="G30" s="11"/>
      <c r="H30" s="11"/>
      <c r="I30" s="11"/>
      <c r="J30" s="13"/>
    </row>
    <row r="31" spans="1:13">
      <c r="A31" s="11"/>
      <c r="B31" s="11"/>
      <c r="C31" s="11"/>
      <c r="D31" s="11"/>
      <c r="E31" s="11"/>
      <c r="F31" s="11"/>
      <c r="G31" s="11"/>
      <c r="H31" s="11"/>
      <c r="I31" s="11"/>
      <c r="J31" s="13"/>
    </row>
    <row r="32" spans="1:13">
      <c r="A32" s="11"/>
      <c r="B32" s="11"/>
      <c r="C32" s="11"/>
      <c r="D32" s="11"/>
      <c r="E32" s="11"/>
      <c r="F32" s="11"/>
      <c r="G32" s="11"/>
      <c r="H32" s="11"/>
      <c r="I32" s="11"/>
      <c r="J32" s="13"/>
    </row>
    <row r="33" spans="1:10">
      <c r="A33" s="11"/>
      <c r="B33" s="11"/>
      <c r="C33" s="11"/>
      <c r="D33" s="11"/>
      <c r="E33" s="11"/>
      <c r="F33" s="11"/>
      <c r="G33" s="11"/>
      <c r="H33" s="11"/>
      <c r="I33" s="11"/>
      <c r="J33" s="13"/>
    </row>
    <row r="34" spans="1:10">
      <c r="A34" s="11"/>
      <c r="B34" s="11"/>
      <c r="C34" s="11"/>
      <c r="D34" s="11"/>
      <c r="E34" s="11"/>
      <c r="F34" s="11"/>
      <c r="G34" s="11"/>
      <c r="H34" s="11"/>
      <c r="I34" s="11"/>
      <c r="J34" s="13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3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3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3"/>
    </row>
    <row r="38" spans="1:10">
      <c r="A38" s="11"/>
      <c r="B38" s="11"/>
      <c r="C38" s="11"/>
      <c r="D38" s="11"/>
      <c r="E38" s="11"/>
      <c r="F38" s="11"/>
      <c r="G38" s="11"/>
      <c r="H38" s="11"/>
      <c r="I38" s="11"/>
      <c r="J38" s="13"/>
    </row>
    <row r="39" spans="1:10">
      <c r="A39" s="11"/>
      <c r="B39" s="11"/>
      <c r="C39" s="11"/>
      <c r="D39" s="11"/>
      <c r="E39" s="11"/>
      <c r="F39" s="11"/>
      <c r="G39" s="11"/>
      <c r="H39" s="11"/>
      <c r="I39" s="11"/>
      <c r="J39" s="13"/>
    </row>
    <row r="40" spans="1:10">
      <c r="A40" s="11"/>
      <c r="B40" s="11"/>
      <c r="C40" s="11"/>
      <c r="D40" s="11"/>
      <c r="E40" s="11"/>
      <c r="F40" s="11"/>
      <c r="G40" s="11"/>
      <c r="H40" s="11"/>
      <c r="I40" s="11"/>
      <c r="J40" s="13"/>
    </row>
    <row r="41" spans="1:10">
      <c r="A41" s="11"/>
      <c r="B41" s="11"/>
      <c r="C41" s="11"/>
      <c r="D41" s="11"/>
      <c r="E41" s="11"/>
      <c r="F41" s="11"/>
      <c r="G41" s="11"/>
      <c r="H41" s="11"/>
      <c r="I41" s="11"/>
      <c r="J41" s="13"/>
    </row>
    <row r="42" spans="1:10">
      <c r="A42" s="11"/>
      <c r="B42" s="11"/>
      <c r="C42" s="11"/>
      <c r="D42" s="11"/>
      <c r="E42" s="11"/>
      <c r="F42" s="11"/>
      <c r="G42" s="11"/>
      <c r="H42" s="11"/>
      <c r="I42" s="11"/>
      <c r="J42" s="13"/>
    </row>
    <row r="43" spans="1:10">
      <c r="A43" s="11"/>
      <c r="B43" s="11"/>
      <c r="C43" s="11"/>
      <c r="D43" s="11"/>
      <c r="E43" s="11"/>
      <c r="F43" s="11"/>
      <c r="G43" s="11"/>
      <c r="H43" s="11"/>
      <c r="I43" s="11"/>
      <c r="J43" s="13"/>
    </row>
  </sheetData>
  <mergeCells count="22">
    <mergeCell ref="A1:M1"/>
    <mergeCell ref="D2:K2"/>
    <mergeCell ref="A2:A4"/>
    <mergeCell ref="A5:A9"/>
    <mergeCell ref="A10:A14"/>
    <mergeCell ref="C2:C4"/>
    <mergeCell ref="I3:I4"/>
    <mergeCell ref="J3:J4"/>
    <mergeCell ref="K3:K4"/>
    <mergeCell ref="L2:L4"/>
    <mergeCell ref="L5:L9"/>
    <mergeCell ref="L10:L14"/>
    <mergeCell ref="A15:A19"/>
    <mergeCell ref="B2:B4"/>
    <mergeCell ref="B5:B9"/>
    <mergeCell ref="B10:B14"/>
    <mergeCell ref="B15:B19"/>
    <mergeCell ref="L15:L19"/>
    <mergeCell ref="M2:M4"/>
    <mergeCell ref="M5:M9"/>
    <mergeCell ref="M10:M14"/>
    <mergeCell ref="M15:M19"/>
  </mergeCells>
  <phoneticPr fontId="8" type="noConversion"/>
  <pageMargins left="0.55486111111111103" right="0.35763888888888901" top="0.80277777777777803" bottom="0.60624999999999996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S15" sqref="S15"/>
    </sheetView>
  </sheetViews>
  <sheetFormatPr defaultColWidth="9" defaultRowHeight="13.5"/>
  <cols>
    <col min="1" max="1" width="4.125" customWidth="1"/>
    <col min="2" max="2" width="9" customWidth="1"/>
    <col min="3" max="3" width="19.125" customWidth="1"/>
    <col min="4" max="8" width="8.625" customWidth="1"/>
    <col min="9" max="9" width="11.25" customWidth="1"/>
    <col min="10" max="10" width="12" style="9" customWidth="1"/>
    <col min="11" max="11" width="13.625" style="9" customWidth="1"/>
    <col min="12" max="12" width="11.5" customWidth="1"/>
    <col min="13" max="13" width="10.75" customWidth="1"/>
  </cols>
  <sheetData>
    <row r="1" spans="1:13" ht="6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21"/>
      <c r="L1" s="20"/>
      <c r="M1" s="20"/>
    </row>
    <row r="2" spans="1:13" ht="24" customHeight="1">
      <c r="A2" s="23" t="s">
        <v>1</v>
      </c>
      <c r="B2" s="19" t="s">
        <v>2</v>
      </c>
      <c r="C2" s="19" t="s">
        <v>3</v>
      </c>
      <c r="D2" s="19" t="s">
        <v>4</v>
      </c>
      <c r="E2" s="19"/>
      <c r="F2" s="19"/>
      <c r="G2" s="19"/>
      <c r="H2" s="19"/>
      <c r="I2" s="19"/>
      <c r="J2" s="22"/>
      <c r="K2" s="22"/>
      <c r="L2" s="19" t="s">
        <v>5</v>
      </c>
      <c r="M2" s="19" t="s">
        <v>6</v>
      </c>
    </row>
    <row r="3" spans="1:13" ht="29.1" customHeight="1">
      <c r="A3" s="23"/>
      <c r="B3" s="19"/>
      <c r="C3" s="19"/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9" t="s">
        <v>12</v>
      </c>
      <c r="J3" s="22" t="s">
        <v>13</v>
      </c>
      <c r="K3" s="22" t="s">
        <v>14</v>
      </c>
      <c r="L3" s="19"/>
      <c r="M3" s="19"/>
    </row>
    <row r="4" spans="1:13" ht="30" customHeight="1">
      <c r="A4" s="23"/>
      <c r="B4" s="19"/>
      <c r="C4" s="19"/>
      <c r="D4" s="10" t="s">
        <v>15</v>
      </c>
      <c r="E4" s="10" t="s">
        <v>15</v>
      </c>
      <c r="F4" s="10" t="s">
        <v>15</v>
      </c>
      <c r="G4" s="10" t="s">
        <v>15</v>
      </c>
      <c r="H4" s="10" t="s">
        <v>15</v>
      </c>
      <c r="I4" s="19"/>
      <c r="J4" s="22"/>
      <c r="K4" s="22"/>
      <c r="L4" s="19"/>
      <c r="M4" s="19"/>
    </row>
    <row r="5" spans="1:13" ht="21" customHeight="1">
      <c r="A5" s="16">
        <v>2</v>
      </c>
      <c r="B5" s="16" t="s">
        <v>24</v>
      </c>
      <c r="C5" s="10" t="s">
        <v>17</v>
      </c>
      <c r="D5" s="10">
        <f>19+19+18+18+18</f>
        <v>92</v>
      </c>
      <c r="E5" s="10">
        <f>18+17+18+18+18</f>
        <v>89</v>
      </c>
      <c r="F5" s="10">
        <f>18+17+18+18+18</f>
        <v>89</v>
      </c>
      <c r="G5" s="10">
        <f>16+16+17+16+15</f>
        <v>80</v>
      </c>
      <c r="H5" s="10">
        <f>16+16+15+16+15</f>
        <v>78</v>
      </c>
      <c r="I5" s="10">
        <f>SUM(D5:H5)</f>
        <v>428</v>
      </c>
      <c r="J5" s="12">
        <f>I5/5</f>
        <v>85.6</v>
      </c>
      <c r="K5" s="12">
        <f>J5*50%</f>
        <v>42.8</v>
      </c>
      <c r="L5" s="16">
        <f>SUM(K5:K9)</f>
        <v>80.319999999999993</v>
      </c>
      <c r="M5" s="16">
        <v>1</v>
      </c>
    </row>
    <row r="6" spans="1:13" ht="21" customHeight="1">
      <c r="A6" s="17"/>
      <c r="B6" s="17"/>
      <c r="C6" s="10" t="s">
        <v>19</v>
      </c>
      <c r="D6" s="10">
        <f>18+18+17+18+18</f>
        <v>89</v>
      </c>
      <c r="E6" s="10">
        <f>18+19+19+18+19</f>
        <v>93</v>
      </c>
      <c r="F6" s="10">
        <f>17+18+18+19+18</f>
        <v>90</v>
      </c>
      <c r="G6" s="10">
        <f>18+18+18+18+18</f>
        <v>90</v>
      </c>
      <c r="H6" s="10">
        <f>12+12+14+14+14</f>
        <v>66</v>
      </c>
      <c r="I6" s="10">
        <f>SUM(D6:H6)</f>
        <v>428</v>
      </c>
      <c r="J6" s="12">
        <f>I6/5</f>
        <v>85.6</v>
      </c>
      <c r="K6" s="12">
        <f>J6*5%</f>
        <v>4.28</v>
      </c>
      <c r="L6" s="17"/>
      <c r="M6" s="17"/>
    </row>
    <row r="7" spans="1:13" ht="21" customHeight="1">
      <c r="A7" s="17"/>
      <c r="B7" s="17"/>
      <c r="C7" s="10" t="s">
        <v>25</v>
      </c>
      <c r="D7" s="10">
        <f>15+14+17+16+17</f>
        <v>79</v>
      </c>
      <c r="E7" s="10">
        <f>9+9+10+10+9</f>
        <v>47</v>
      </c>
      <c r="F7" s="10">
        <f>15+16+17+16+14</f>
        <v>78</v>
      </c>
      <c r="G7" s="10">
        <f>10+10+10+10+8</f>
        <v>48</v>
      </c>
      <c r="H7" s="10">
        <f>10+10+8+8+6</f>
        <v>42</v>
      </c>
      <c r="I7" s="10">
        <f t="shared" ref="I7:I19" si="0">SUM(D7:H7)</f>
        <v>294</v>
      </c>
      <c r="J7" s="12">
        <f>I7/5</f>
        <v>58.8</v>
      </c>
      <c r="K7" s="12">
        <f>J7*5%</f>
        <v>2.94</v>
      </c>
      <c r="L7" s="17"/>
      <c r="M7" s="17"/>
    </row>
    <row r="8" spans="1:13" ht="21" customHeight="1">
      <c r="A8" s="17"/>
      <c r="B8" s="17"/>
      <c r="C8" s="10" t="s">
        <v>21</v>
      </c>
      <c r="D8" s="10">
        <f>25+25+15+15</f>
        <v>80</v>
      </c>
      <c r="E8" s="10">
        <f>27+26+15+15</f>
        <v>83</v>
      </c>
      <c r="F8" s="10">
        <f>27+27+15+15</f>
        <v>84</v>
      </c>
      <c r="G8" s="10">
        <f>20+15+15+10</f>
        <v>60</v>
      </c>
      <c r="H8" s="10">
        <f>8+10+7+7</f>
        <v>32</v>
      </c>
      <c r="I8" s="10">
        <f t="shared" si="0"/>
        <v>339</v>
      </c>
      <c r="J8" s="12">
        <f>I8/5</f>
        <v>67.8</v>
      </c>
      <c r="K8" s="12">
        <f>J8*10%</f>
        <v>6.78</v>
      </c>
      <c r="L8" s="17"/>
      <c r="M8" s="17"/>
    </row>
    <row r="9" spans="1:13" ht="21" customHeight="1">
      <c r="A9" s="18"/>
      <c r="B9" s="18"/>
      <c r="C9" s="10" t="s">
        <v>26</v>
      </c>
      <c r="D9" s="10">
        <f>25+25+25+9</f>
        <v>84</v>
      </c>
      <c r="E9" s="10">
        <f>26+26+23+8</f>
        <v>83</v>
      </c>
      <c r="F9" s="10">
        <f>26+26+25+8</f>
        <v>85</v>
      </c>
      <c r="G9" s="10">
        <f>20+25+20+8</f>
        <v>73</v>
      </c>
      <c r="H9" s="10">
        <f>22+20+18+7</f>
        <v>67</v>
      </c>
      <c r="I9" s="10">
        <f t="shared" si="0"/>
        <v>392</v>
      </c>
      <c r="J9" s="12">
        <f>I9/5</f>
        <v>78.400000000000006</v>
      </c>
      <c r="K9" s="12">
        <f>J9*30%</f>
        <v>23.52</v>
      </c>
      <c r="L9" s="17"/>
      <c r="M9" s="18"/>
    </row>
    <row r="10" spans="1:13" ht="21" customHeight="1">
      <c r="A10" s="16">
        <v>3</v>
      </c>
      <c r="B10" s="24" t="s">
        <v>27</v>
      </c>
      <c r="C10" s="10" t="s">
        <v>17</v>
      </c>
      <c r="D10" s="10"/>
      <c r="E10" s="10"/>
      <c r="F10" s="10"/>
      <c r="G10" s="10"/>
      <c r="H10" s="10"/>
      <c r="I10" s="10">
        <f t="shared" si="0"/>
        <v>0</v>
      </c>
      <c r="J10" s="12">
        <f t="shared" ref="J10:J19" si="1">I10/5</f>
        <v>0</v>
      </c>
      <c r="K10" s="12">
        <f>J10*50%</f>
        <v>0</v>
      </c>
      <c r="L10" s="16" t="s">
        <v>28</v>
      </c>
      <c r="M10" s="16" t="s">
        <v>28</v>
      </c>
    </row>
    <row r="11" spans="1:13" ht="21" customHeight="1">
      <c r="A11" s="17"/>
      <c r="B11" s="25"/>
      <c r="C11" s="10" t="s">
        <v>19</v>
      </c>
      <c r="D11" s="10"/>
      <c r="E11" s="10"/>
      <c r="F11" s="10"/>
      <c r="G11" s="10"/>
      <c r="H11" s="10"/>
      <c r="I11" s="10">
        <f t="shared" si="0"/>
        <v>0</v>
      </c>
      <c r="J11" s="12">
        <f t="shared" si="1"/>
        <v>0</v>
      </c>
      <c r="K11" s="12">
        <f>J11*5%</f>
        <v>0</v>
      </c>
      <c r="L11" s="17"/>
      <c r="M11" s="17"/>
    </row>
    <row r="12" spans="1:13" ht="21" customHeight="1">
      <c r="A12" s="17"/>
      <c r="B12" s="25"/>
      <c r="C12" s="10" t="s">
        <v>25</v>
      </c>
      <c r="D12" s="10"/>
      <c r="E12" s="10"/>
      <c r="F12" s="10"/>
      <c r="G12" s="10"/>
      <c r="H12" s="10"/>
      <c r="I12" s="10">
        <f t="shared" si="0"/>
        <v>0</v>
      </c>
      <c r="J12" s="12">
        <f t="shared" si="1"/>
        <v>0</v>
      </c>
      <c r="K12" s="12">
        <f>J12*5%</f>
        <v>0</v>
      </c>
      <c r="L12" s="17"/>
      <c r="M12" s="17"/>
    </row>
    <row r="13" spans="1:13" ht="21" customHeight="1">
      <c r="A13" s="17"/>
      <c r="B13" s="25"/>
      <c r="C13" s="10" t="s">
        <v>21</v>
      </c>
      <c r="D13" s="10"/>
      <c r="E13" s="10"/>
      <c r="F13" s="10"/>
      <c r="G13" s="10"/>
      <c r="H13" s="10"/>
      <c r="I13" s="10">
        <f t="shared" si="0"/>
        <v>0</v>
      </c>
      <c r="J13" s="12">
        <f t="shared" si="1"/>
        <v>0</v>
      </c>
      <c r="K13" s="12">
        <f>J13*10%</f>
        <v>0</v>
      </c>
      <c r="L13" s="17"/>
      <c r="M13" s="17"/>
    </row>
    <row r="14" spans="1:13" ht="21" customHeight="1">
      <c r="A14" s="18"/>
      <c r="B14" s="26"/>
      <c r="C14" s="10" t="s">
        <v>26</v>
      </c>
      <c r="D14" s="10"/>
      <c r="E14" s="10"/>
      <c r="F14" s="10"/>
      <c r="G14" s="10"/>
      <c r="H14" s="10"/>
      <c r="I14" s="10">
        <f t="shared" si="0"/>
        <v>0</v>
      </c>
      <c r="J14" s="12">
        <f t="shared" si="1"/>
        <v>0</v>
      </c>
      <c r="K14" s="12">
        <f>J14*30%</f>
        <v>0</v>
      </c>
      <c r="L14" s="17"/>
      <c r="M14" s="18"/>
    </row>
    <row r="15" spans="1:13" ht="21" customHeight="1">
      <c r="A15" s="16">
        <v>4</v>
      </c>
      <c r="B15" s="16" t="s">
        <v>29</v>
      </c>
      <c r="C15" s="10" t="s">
        <v>17</v>
      </c>
      <c r="D15" s="10">
        <f>16+15+17+16+16</f>
        <v>80</v>
      </c>
      <c r="E15" s="10">
        <f>16+16+17+17+16</f>
        <v>82</v>
      </c>
      <c r="F15" s="10">
        <f>15+15+15+15+16</f>
        <v>76</v>
      </c>
      <c r="G15" s="10">
        <f>16+15+14+14+15</f>
        <v>74</v>
      </c>
      <c r="H15" s="10">
        <f>11+14+14+14+14</f>
        <v>67</v>
      </c>
      <c r="I15" s="10">
        <f t="shared" si="0"/>
        <v>379</v>
      </c>
      <c r="J15" s="12">
        <f t="shared" si="1"/>
        <v>75.8</v>
      </c>
      <c r="K15" s="12">
        <f>J15*50%</f>
        <v>37.9</v>
      </c>
      <c r="L15" s="19">
        <f>SUM(K15:K19)</f>
        <v>74.290000000000006</v>
      </c>
      <c r="M15" s="16">
        <v>2</v>
      </c>
    </row>
    <row r="16" spans="1:13" ht="21" customHeight="1">
      <c r="A16" s="17"/>
      <c r="B16" s="17"/>
      <c r="C16" s="10" t="s">
        <v>19</v>
      </c>
      <c r="D16" s="10">
        <f>15+15+16+15+16</f>
        <v>77</v>
      </c>
      <c r="E16" s="10">
        <f>17+17+19+17+17</f>
        <v>87</v>
      </c>
      <c r="F16" s="10">
        <f>15+14+13+14+14</f>
        <v>70</v>
      </c>
      <c r="G16" s="10">
        <f>14+16+14+13+13</f>
        <v>70</v>
      </c>
      <c r="H16" s="10">
        <f>12+12+14+13+13</f>
        <v>64</v>
      </c>
      <c r="I16" s="10">
        <f t="shared" si="0"/>
        <v>368</v>
      </c>
      <c r="J16" s="12">
        <f t="shared" si="1"/>
        <v>73.599999999999994</v>
      </c>
      <c r="K16" s="12">
        <f>J16*5%</f>
        <v>3.68</v>
      </c>
      <c r="L16" s="19"/>
      <c r="M16" s="17"/>
    </row>
    <row r="17" spans="1:13" ht="21" customHeight="1">
      <c r="A17" s="17"/>
      <c r="B17" s="17"/>
      <c r="C17" s="10" t="s">
        <v>25</v>
      </c>
      <c r="D17" s="10">
        <f>18+18+18+17+17</f>
        <v>88</v>
      </c>
      <c r="E17" s="10">
        <f>11+10+11+11+9</f>
        <v>52</v>
      </c>
      <c r="F17" s="10">
        <f>16+16+17+16+15</f>
        <v>80</v>
      </c>
      <c r="G17" s="10">
        <f>15+14+15+14+10</f>
        <v>68</v>
      </c>
      <c r="H17" s="10">
        <f>12+12+12+13+12</f>
        <v>61</v>
      </c>
      <c r="I17" s="10">
        <f t="shared" si="0"/>
        <v>349</v>
      </c>
      <c r="J17" s="12">
        <f t="shared" si="1"/>
        <v>69.8</v>
      </c>
      <c r="K17" s="12">
        <f>J17*5%</f>
        <v>3.49</v>
      </c>
      <c r="L17" s="19"/>
      <c r="M17" s="17"/>
    </row>
    <row r="18" spans="1:13" ht="21" customHeight="1">
      <c r="A18" s="17"/>
      <c r="B18" s="17"/>
      <c r="C18" s="10" t="s">
        <v>21</v>
      </c>
      <c r="D18" s="10">
        <f>20+20+12+18</f>
        <v>70</v>
      </c>
      <c r="E18" s="10">
        <f>26+24+15+15</f>
        <v>80</v>
      </c>
      <c r="F18" s="10">
        <f>27+27+13+13</f>
        <v>80</v>
      </c>
      <c r="G18" s="10">
        <f>24+18+5+15</f>
        <v>62</v>
      </c>
      <c r="H18" s="10">
        <f>22+20+7+10</f>
        <v>59</v>
      </c>
      <c r="I18" s="10">
        <f t="shared" si="0"/>
        <v>351</v>
      </c>
      <c r="J18" s="12">
        <f t="shared" si="1"/>
        <v>70.2</v>
      </c>
      <c r="K18" s="12">
        <f>J18*10%</f>
        <v>7.02</v>
      </c>
      <c r="L18" s="19"/>
      <c r="M18" s="17"/>
    </row>
    <row r="19" spans="1:13" ht="21" customHeight="1">
      <c r="A19" s="18"/>
      <c r="B19" s="18"/>
      <c r="C19" s="10" t="s">
        <v>26</v>
      </c>
      <c r="D19" s="10">
        <f>25+25+20+8</f>
        <v>78</v>
      </c>
      <c r="E19" s="10">
        <f>27+26+24+8</f>
        <v>85</v>
      </c>
      <c r="F19" s="10">
        <f>22+23+22+6</f>
        <v>73</v>
      </c>
      <c r="G19" s="10">
        <f>22+25+18+7</f>
        <v>72</v>
      </c>
      <c r="H19" s="10">
        <f>20+20+16+6</f>
        <v>62</v>
      </c>
      <c r="I19" s="10">
        <f t="shared" si="0"/>
        <v>370</v>
      </c>
      <c r="J19" s="12">
        <f t="shared" si="1"/>
        <v>74</v>
      </c>
      <c r="K19" s="12">
        <f>J19*30%</f>
        <v>22.2</v>
      </c>
      <c r="L19" s="19"/>
      <c r="M19" s="18"/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3"/>
    </row>
    <row r="21" spans="1:13">
      <c r="A21" s="11"/>
      <c r="B21" s="11"/>
      <c r="C21" s="11"/>
      <c r="D21" s="11"/>
      <c r="E21" s="11"/>
      <c r="F21" s="11"/>
      <c r="G21" s="11"/>
      <c r="H21" s="11"/>
      <c r="I21" s="11"/>
      <c r="J21" s="13"/>
    </row>
    <row r="22" spans="1:13">
      <c r="A22" s="11"/>
      <c r="B22" s="11"/>
      <c r="C22" s="11"/>
      <c r="D22" s="11"/>
      <c r="E22" s="11"/>
      <c r="F22" s="11"/>
      <c r="G22" s="11"/>
      <c r="H22" s="11"/>
      <c r="I22" s="11"/>
      <c r="J22" s="13"/>
    </row>
    <row r="23" spans="1:13">
      <c r="A23" s="11"/>
      <c r="B23" s="11"/>
      <c r="C23" s="11"/>
      <c r="D23" s="11"/>
      <c r="E23" s="11"/>
      <c r="F23" s="11"/>
      <c r="G23" s="11"/>
      <c r="H23" s="11"/>
      <c r="I23" s="11"/>
      <c r="J23" s="13"/>
    </row>
    <row r="24" spans="1:13">
      <c r="A24" s="11"/>
      <c r="B24" s="11"/>
      <c r="C24" s="11"/>
      <c r="D24" s="11"/>
      <c r="E24" s="11"/>
      <c r="F24" s="11"/>
      <c r="G24" s="11"/>
      <c r="H24" s="11"/>
      <c r="I24" s="11"/>
      <c r="J24" s="13"/>
    </row>
    <row r="25" spans="1:13">
      <c r="A25" s="11"/>
      <c r="B25" s="11"/>
      <c r="C25" s="11"/>
      <c r="D25" s="11"/>
      <c r="E25" s="11"/>
      <c r="F25" s="11"/>
      <c r="G25" s="11"/>
      <c r="H25" s="11"/>
      <c r="I25" s="11"/>
      <c r="J25" s="13"/>
    </row>
    <row r="26" spans="1:13">
      <c r="A26" s="11"/>
      <c r="B26" s="11"/>
      <c r="C26" s="11"/>
      <c r="D26" s="11"/>
      <c r="E26" s="11"/>
      <c r="F26" s="11"/>
      <c r="G26" s="11"/>
      <c r="H26" s="11"/>
      <c r="I26" s="11"/>
      <c r="J26" s="13"/>
    </row>
    <row r="27" spans="1:13">
      <c r="A27" s="11"/>
      <c r="B27" s="11"/>
      <c r="C27" s="11"/>
      <c r="D27" s="11"/>
      <c r="E27" s="11"/>
      <c r="F27" s="11"/>
      <c r="G27" s="11"/>
      <c r="H27" s="11"/>
      <c r="I27" s="11"/>
      <c r="J27" s="13"/>
    </row>
    <row r="28" spans="1:13">
      <c r="A28" s="11"/>
      <c r="B28" s="11"/>
      <c r="C28" s="11"/>
      <c r="D28" s="11"/>
      <c r="E28" s="11"/>
      <c r="F28" s="11"/>
      <c r="G28" s="11"/>
      <c r="H28" s="11"/>
      <c r="I28" s="11"/>
      <c r="J28" s="13"/>
    </row>
    <row r="29" spans="1:13">
      <c r="A29" s="11"/>
      <c r="B29" s="11"/>
      <c r="C29" s="11"/>
      <c r="D29" s="11"/>
      <c r="E29" s="11"/>
      <c r="F29" s="11"/>
      <c r="G29" s="11"/>
      <c r="H29" s="11"/>
      <c r="I29" s="11"/>
      <c r="J29" s="13"/>
    </row>
    <row r="30" spans="1:13">
      <c r="A30" s="11"/>
      <c r="B30" s="11"/>
      <c r="C30" s="11"/>
      <c r="D30" s="11"/>
      <c r="E30" s="11"/>
      <c r="F30" s="11"/>
      <c r="G30" s="11"/>
      <c r="H30" s="11"/>
      <c r="I30" s="11"/>
      <c r="J30" s="13"/>
    </row>
    <row r="31" spans="1:13">
      <c r="A31" s="11"/>
      <c r="B31" s="11"/>
      <c r="C31" s="11"/>
      <c r="D31" s="11"/>
      <c r="E31" s="11"/>
      <c r="F31" s="11"/>
      <c r="G31" s="11"/>
      <c r="H31" s="11"/>
      <c r="I31" s="11"/>
      <c r="J31" s="13"/>
    </row>
    <row r="32" spans="1:13">
      <c r="A32" s="11"/>
      <c r="B32" s="11"/>
      <c r="C32" s="11"/>
      <c r="D32" s="11"/>
      <c r="E32" s="11"/>
      <c r="F32" s="11"/>
      <c r="G32" s="11"/>
      <c r="H32" s="11"/>
      <c r="I32" s="11"/>
      <c r="J32" s="13"/>
    </row>
    <row r="33" spans="1:10">
      <c r="A33" s="11"/>
      <c r="B33" s="11"/>
      <c r="C33" s="11"/>
      <c r="D33" s="11"/>
      <c r="E33" s="11"/>
      <c r="F33" s="11"/>
      <c r="G33" s="11"/>
      <c r="H33" s="11"/>
      <c r="I33" s="11"/>
      <c r="J33" s="13"/>
    </row>
    <row r="34" spans="1:10">
      <c r="A34" s="11"/>
      <c r="B34" s="11"/>
      <c r="C34" s="11"/>
      <c r="D34" s="11"/>
      <c r="E34" s="11"/>
      <c r="F34" s="11"/>
      <c r="G34" s="11"/>
      <c r="H34" s="11"/>
      <c r="I34" s="11"/>
      <c r="J34" s="13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3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3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3"/>
    </row>
    <row r="38" spans="1:10">
      <c r="A38" s="11"/>
      <c r="B38" s="11"/>
      <c r="C38" s="11"/>
      <c r="D38" s="11"/>
      <c r="E38" s="11"/>
      <c r="F38" s="11"/>
      <c r="G38" s="11"/>
      <c r="H38" s="11"/>
      <c r="I38" s="11"/>
      <c r="J38" s="13"/>
    </row>
    <row r="39" spans="1:10">
      <c r="A39" s="11"/>
      <c r="B39" s="11"/>
      <c r="C39" s="11"/>
      <c r="D39" s="11"/>
      <c r="E39" s="11"/>
      <c r="F39" s="11"/>
      <c r="G39" s="11"/>
      <c r="H39" s="11"/>
      <c r="I39" s="11"/>
      <c r="J39" s="13"/>
    </row>
    <row r="40" spans="1:10">
      <c r="A40" s="11"/>
      <c r="B40" s="11"/>
      <c r="C40" s="11"/>
      <c r="D40" s="11"/>
      <c r="E40" s="11"/>
      <c r="F40" s="11"/>
      <c r="G40" s="11"/>
      <c r="H40" s="11"/>
      <c r="I40" s="11"/>
      <c r="J40" s="13"/>
    </row>
    <row r="41" spans="1:10">
      <c r="A41" s="11"/>
      <c r="B41" s="11"/>
      <c r="C41" s="11"/>
      <c r="D41" s="11"/>
      <c r="E41" s="11"/>
      <c r="F41" s="11"/>
      <c r="G41" s="11"/>
      <c r="H41" s="11"/>
      <c r="I41" s="11"/>
      <c r="J41" s="13"/>
    </row>
  </sheetData>
  <mergeCells count="22">
    <mergeCell ref="A1:M1"/>
    <mergeCell ref="D2:K2"/>
    <mergeCell ref="A2:A4"/>
    <mergeCell ref="A5:A9"/>
    <mergeCell ref="A10:A14"/>
    <mergeCell ref="C2:C4"/>
    <mergeCell ref="I3:I4"/>
    <mergeCell ref="J3:J4"/>
    <mergeCell ref="K3:K4"/>
    <mergeCell ref="L2:L4"/>
    <mergeCell ref="L5:L9"/>
    <mergeCell ref="L10:L14"/>
    <mergeCell ref="A15:A19"/>
    <mergeCell ref="B2:B4"/>
    <mergeCell ref="B5:B9"/>
    <mergeCell ref="B10:B14"/>
    <mergeCell ref="B15:B19"/>
    <mergeCell ref="L15:L19"/>
    <mergeCell ref="M2:M4"/>
    <mergeCell ref="M5:M9"/>
    <mergeCell ref="M10:M14"/>
    <mergeCell ref="M15:M19"/>
  </mergeCells>
  <phoneticPr fontId="8" type="noConversion"/>
  <pageMargins left="0.55486111111111103" right="0.35763888888888901" top="0.80277777777777803" bottom="0.80277777777777803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I4" sqref="I4:J4"/>
    </sheetView>
  </sheetViews>
  <sheetFormatPr defaultColWidth="9" defaultRowHeight="13.5"/>
  <cols>
    <col min="1" max="1" width="13.25" style="1" customWidth="1"/>
    <col min="2" max="2" width="11.125" style="1" customWidth="1"/>
    <col min="3" max="12" width="8.875" style="2" customWidth="1"/>
    <col min="13" max="13" width="16.125" style="2" customWidth="1"/>
    <col min="14" max="16384" width="9" style="1"/>
  </cols>
  <sheetData>
    <row r="1" spans="1:14" ht="30" customHeight="1">
      <c r="A1" s="3" t="s">
        <v>30</v>
      </c>
    </row>
    <row r="2" spans="1:14" ht="72" customHeight="1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7" customHeight="1">
      <c r="A3" s="31" t="s">
        <v>31</v>
      </c>
      <c r="B3" s="31" t="s">
        <v>32</v>
      </c>
      <c r="C3" s="33" t="s">
        <v>33</v>
      </c>
      <c r="D3" s="33"/>
      <c r="E3" s="33"/>
      <c r="F3" s="33"/>
      <c r="G3" s="33"/>
      <c r="H3" s="33"/>
      <c r="I3" s="33"/>
      <c r="J3" s="33"/>
      <c r="K3" s="33"/>
      <c r="L3" s="33"/>
      <c r="M3" s="32" t="s">
        <v>34</v>
      </c>
      <c r="N3" s="27" t="s">
        <v>35</v>
      </c>
    </row>
    <row r="4" spans="1:14" ht="42" customHeight="1">
      <c r="A4" s="31"/>
      <c r="B4" s="31"/>
      <c r="C4" s="32" t="s">
        <v>36</v>
      </c>
      <c r="D4" s="33"/>
      <c r="E4" s="32" t="s">
        <v>37</v>
      </c>
      <c r="F4" s="33"/>
      <c r="G4" s="33" t="s">
        <v>38</v>
      </c>
      <c r="H4" s="33"/>
      <c r="I4" s="33" t="s">
        <v>39</v>
      </c>
      <c r="J4" s="33"/>
      <c r="K4" s="33" t="s">
        <v>40</v>
      </c>
      <c r="L4" s="33"/>
      <c r="M4" s="32"/>
      <c r="N4" s="27"/>
    </row>
    <row r="5" spans="1:14" ht="27" customHeight="1">
      <c r="A5" s="31"/>
      <c r="B5" s="31"/>
      <c r="C5" s="5" t="s">
        <v>15</v>
      </c>
      <c r="D5" s="5" t="s">
        <v>14</v>
      </c>
      <c r="E5" s="5" t="s">
        <v>15</v>
      </c>
      <c r="F5" s="5" t="s">
        <v>14</v>
      </c>
      <c r="G5" s="5" t="s">
        <v>15</v>
      </c>
      <c r="H5" s="5" t="s">
        <v>14</v>
      </c>
      <c r="I5" s="5" t="s">
        <v>15</v>
      </c>
      <c r="J5" s="5" t="s">
        <v>14</v>
      </c>
      <c r="K5" s="5" t="s">
        <v>15</v>
      </c>
      <c r="L5" s="5" t="s">
        <v>14</v>
      </c>
      <c r="M5" s="32"/>
      <c r="N5" s="27"/>
    </row>
    <row r="6" spans="1:14" ht="27" customHeight="1">
      <c r="A6" s="4" t="s">
        <v>41</v>
      </c>
      <c r="B6" s="4" t="s">
        <v>22</v>
      </c>
      <c r="C6" s="6">
        <f>幼儿教师1!J10</f>
        <v>81.400000000000006</v>
      </c>
      <c r="D6" s="6">
        <f>幼儿教师1!K10</f>
        <v>40.700000000000003</v>
      </c>
      <c r="E6" s="6">
        <v>65</v>
      </c>
      <c r="F6" s="6">
        <f>幼儿教师1!K11</f>
        <v>9.75</v>
      </c>
      <c r="G6" s="6">
        <f>幼儿教师1!J12</f>
        <v>84.2</v>
      </c>
      <c r="H6" s="6">
        <f>幼儿教师1!K12</f>
        <v>8.42</v>
      </c>
      <c r="I6" s="6">
        <f>幼儿教师1!J13</f>
        <v>63.2</v>
      </c>
      <c r="J6" s="6">
        <f>幼儿教师1!K13</f>
        <v>9.48</v>
      </c>
      <c r="K6" s="6">
        <f>幼儿教师1!J14</f>
        <v>84.8</v>
      </c>
      <c r="L6" s="6">
        <f>幼儿教师1!K14</f>
        <v>8.48</v>
      </c>
      <c r="M6" s="6">
        <f>D6+F6+H6+J6+L6</f>
        <v>76.83</v>
      </c>
      <c r="N6" s="8">
        <v>1</v>
      </c>
    </row>
    <row r="7" spans="1:14" ht="27" customHeight="1">
      <c r="A7" s="4" t="s">
        <v>41</v>
      </c>
      <c r="B7" s="4" t="s">
        <v>23</v>
      </c>
      <c r="C7" s="6">
        <f>幼儿教师1!J15</f>
        <v>75.599999999999994</v>
      </c>
      <c r="D7" s="6">
        <f>幼儿教师1!K15</f>
        <v>37.799999999999997</v>
      </c>
      <c r="E7" s="6">
        <v>55</v>
      </c>
      <c r="F7" s="6">
        <f>幼儿教师1!K16</f>
        <v>8.25</v>
      </c>
      <c r="G7" s="6">
        <f>幼儿教师1!J17</f>
        <v>73.599999999999994</v>
      </c>
      <c r="H7" s="6">
        <f>幼儿教师1!K17</f>
        <v>7.36</v>
      </c>
      <c r="I7" s="6">
        <f>幼儿教师1!J18</f>
        <v>70.599999999999994</v>
      </c>
      <c r="J7" s="6">
        <f>幼儿教师1!K18</f>
        <v>10.59</v>
      </c>
      <c r="K7" s="6">
        <f>幼儿教师1!J19</f>
        <v>74.400000000000006</v>
      </c>
      <c r="L7" s="6">
        <f>幼儿教师1!K19</f>
        <v>7.44</v>
      </c>
      <c r="M7" s="6">
        <f>D7+F7+H7+J7+L7</f>
        <v>71.44</v>
      </c>
      <c r="N7" s="8">
        <v>2</v>
      </c>
    </row>
    <row r="8" spans="1:14" ht="27" customHeight="1">
      <c r="A8" s="4" t="s">
        <v>41</v>
      </c>
      <c r="B8" s="4" t="s">
        <v>16</v>
      </c>
      <c r="C8" s="6">
        <f>幼儿教师1!J5</f>
        <v>74.599999999999994</v>
      </c>
      <c r="D8" s="6">
        <f>幼儿教师1!K5</f>
        <v>37.299999999999997</v>
      </c>
      <c r="E8" s="6">
        <v>65</v>
      </c>
      <c r="F8" s="6">
        <f>幼儿教师1!K6</f>
        <v>9.75</v>
      </c>
      <c r="G8" s="6">
        <f>幼儿教师1!J7</f>
        <v>65.599999999999994</v>
      </c>
      <c r="H8" s="6">
        <f>幼儿教师1!K7</f>
        <v>6.56</v>
      </c>
      <c r="I8" s="6">
        <f>幼儿教师1!J8</f>
        <v>65</v>
      </c>
      <c r="J8" s="6">
        <f>幼儿教师1!K8</f>
        <v>9.75</v>
      </c>
      <c r="K8" s="6">
        <f>幼儿教师1!J9</f>
        <v>65.599999999999994</v>
      </c>
      <c r="L8" s="6">
        <f>幼儿教师1!K9</f>
        <v>6.56</v>
      </c>
      <c r="M8" s="6">
        <f>D8+F8+H8+J8+L8</f>
        <v>69.92</v>
      </c>
      <c r="N8" s="8">
        <v>3</v>
      </c>
    </row>
    <row r="9" spans="1:14" ht="27" customHeight="1">
      <c r="A9" s="31" t="s">
        <v>31</v>
      </c>
      <c r="B9" s="31" t="s">
        <v>32</v>
      </c>
      <c r="C9" s="33" t="s">
        <v>33</v>
      </c>
      <c r="D9" s="33"/>
      <c r="E9" s="33"/>
      <c r="F9" s="33"/>
      <c r="G9" s="33"/>
      <c r="H9" s="33"/>
      <c r="I9" s="33"/>
      <c r="J9" s="33"/>
      <c r="K9" s="33"/>
      <c r="L9" s="33"/>
      <c r="M9" s="32" t="s">
        <v>34</v>
      </c>
      <c r="N9" s="27" t="s">
        <v>35</v>
      </c>
    </row>
    <row r="10" spans="1:14" ht="42" customHeight="1">
      <c r="A10" s="31"/>
      <c r="B10" s="31"/>
      <c r="C10" s="32" t="s">
        <v>36</v>
      </c>
      <c r="D10" s="33"/>
      <c r="E10" s="32" t="s">
        <v>42</v>
      </c>
      <c r="F10" s="33"/>
      <c r="G10" s="33" t="s">
        <v>43</v>
      </c>
      <c r="H10" s="33"/>
      <c r="I10" s="33" t="s">
        <v>40</v>
      </c>
      <c r="J10" s="33"/>
      <c r="K10" s="33" t="s">
        <v>44</v>
      </c>
      <c r="L10" s="33"/>
      <c r="M10" s="32"/>
      <c r="N10" s="27"/>
    </row>
    <row r="11" spans="1:14" ht="27" customHeight="1">
      <c r="A11" s="31"/>
      <c r="B11" s="31"/>
      <c r="C11" s="5" t="s">
        <v>15</v>
      </c>
      <c r="D11" s="5" t="s">
        <v>14</v>
      </c>
      <c r="E11" s="5" t="s">
        <v>15</v>
      </c>
      <c r="F11" s="5" t="s">
        <v>14</v>
      </c>
      <c r="G11" s="5" t="s">
        <v>15</v>
      </c>
      <c r="H11" s="5" t="s">
        <v>14</v>
      </c>
      <c r="I11" s="5" t="s">
        <v>15</v>
      </c>
      <c r="J11" s="5" t="s">
        <v>14</v>
      </c>
      <c r="K11" s="5" t="s">
        <v>15</v>
      </c>
      <c r="L11" s="5" t="s">
        <v>14</v>
      </c>
      <c r="M11" s="32"/>
      <c r="N11" s="27"/>
    </row>
    <row r="12" spans="1:14" ht="27" customHeight="1">
      <c r="A12" s="4" t="s">
        <v>45</v>
      </c>
      <c r="B12" s="4" t="s">
        <v>24</v>
      </c>
      <c r="C12" s="6">
        <f>体育教师!J5</f>
        <v>85.6</v>
      </c>
      <c r="D12" s="6">
        <f>体育教师!K5</f>
        <v>42.8</v>
      </c>
      <c r="E12" s="6">
        <f>体育教师!J6</f>
        <v>85.6</v>
      </c>
      <c r="F12" s="6">
        <f>体育教师!K6</f>
        <v>4.28</v>
      </c>
      <c r="G12" s="6">
        <f>体育教师!J7</f>
        <v>58.8</v>
      </c>
      <c r="H12" s="6">
        <f>体育教师!K7</f>
        <v>2.94</v>
      </c>
      <c r="I12" s="6">
        <f>体育教师!J8</f>
        <v>67.8</v>
      </c>
      <c r="J12" s="6">
        <f>体育教师!K8</f>
        <v>6.78</v>
      </c>
      <c r="K12" s="6">
        <f>体育教师!J9</f>
        <v>78.400000000000006</v>
      </c>
      <c r="L12" s="6">
        <f>体育教师!K9</f>
        <v>23.52</v>
      </c>
      <c r="M12" s="6">
        <f>D12+F12+H12+J12+L12</f>
        <v>80.319999999999993</v>
      </c>
      <c r="N12" s="8">
        <v>1</v>
      </c>
    </row>
    <row r="13" spans="1:14" ht="27" customHeight="1">
      <c r="A13" s="4" t="s">
        <v>45</v>
      </c>
      <c r="B13" s="4" t="s">
        <v>29</v>
      </c>
      <c r="C13" s="6">
        <f>体育教师!J15</f>
        <v>75.8</v>
      </c>
      <c r="D13" s="6">
        <f>体育教师!K15</f>
        <v>37.9</v>
      </c>
      <c r="E13" s="6">
        <f>体育教师!J16</f>
        <v>73.599999999999994</v>
      </c>
      <c r="F13" s="6">
        <f>体育教师!K16</f>
        <v>3.68</v>
      </c>
      <c r="G13" s="6">
        <f>体育教师!J17</f>
        <v>69.8</v>
      </c>
      <c r="H13" s="6">
        <f>体育教师!K17</f>
        <v>3.49</v>
      </c>
      <c r="I13" s="6">
        <f>体育教师!J18</f>
        <v>70.2</v>
      </c>
      <c r="J13" s="6">
        <f>体育教师!K18</f>
        <v>7.02</v>
      </c>
      <c r="K13" s="6">
        <f>体育教师!J19</f>
        <v>74</v>
      </c>
      <c r="L13" s="6">
        <f>体育教师!K19</f>
        <v>22.2</v>
      </c>
      <c r="M13" s="6">
        <f>D13+F13+H13+J13+L13</f>
        <v>74.290000000000006</v>
      </c>
      <c r="N13" s="8">
        <v>2</v>
      </c>
    </row>
    <row r="14" spans="1:14" ht="27" customHeight="1">
      <c r="A14" s="4" t="s">
        <v>45</v>
      </c>
      <c r="B14" s="4" t="s">
        <v>27</v>
      </c>
      <c r="C14" s="6">
        <f>体育教师!J10</f>
        <v>0</v>
      </c>
      <c r="D14" s="6">
        <f>体育教师!K10</f>
        <v>0</v>
      </c>
      <c r="E14" s="6">
        <f>体育教师!J11</f>
        <v>0</v>
      </c>
      <c r="F14" s="6">
        <f>体育教师!K11</f>
        <v>0</v>
      </c>
      <c r="G14" s="6">
        <f>体育教师!J12</f>
        <v>0</v>
      </c>
      <c r="H14" s="6">
        <f>体育教师!K12</f>
        <v>0</v>
      </c>
      <c r="I14" s="6">
        <f>体育教师!J13</f>
        <v>0</v>
      </c>
      <c r="J14" s="6">
        <f>体育教师!K13</f>
        <v>0</v>
      </c>
      <c r="K14" s="6">
        <f>体育教师!J14</f>
        <v>0</v>
      </c>
      <c r="L14" s="6">
        <f>体育教师!K14</f>
        <v>0</v>
      </c>
      <c r="M14" s="6" t="s">
        <v>28</v>
      </c>
      <c r="N14" s="8" t="s">
        <v>28</v>
      </c>
    </row>
    <row r="15" spans="1:14" ht="26.1" customHeight="1">
      <c r="A15" s="7"/>
      <c r="B15" s="7"/>
    </row>
    <row r="16" spans="1:14" ht="57.95" customHeight="1">
      <c r="A16" s="28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</sheetData>
  <sheetProtection password="CC8C" sheet="1" objects="1" scenarios="1"/>
  <mergeCells count="22">
    <mergeCell ref="A2:N2"/>
    <mergeCell ref="C3:L3"/>
    <mergeCell ref="C4:D4"/>
    <mergeCell ref="E4:F4"/>
    <mergeCell ref="G4:H4"/>
    <mergeCell ref="I4:J4"/>
    <mergeCell ref="K4:L4"/>
    <mergeCell ref="N3:N5"/>
    <mergeCell ref="N9:N11"/>
    <mergeCell ref="A16:M16"/>
    <mergeCell ref="A3:A5"/>
    <mergeCell ref="A9:A11"/>
    <mergeCell ref="B3:B5"/>
    <mergeCell ref="B9:B11"/>
    <mergeCell ref="M3:M5"/>
    <mergeCell ref="M9:M11"/>
    <mergeCell ref="C9:L9"/>
    <mergeCell ref="C10:D10"/>
    <mergeCell ref="E10:F10"/>
    <mergeCell ref="G10:H10"/>
    <mergeCell ref="I10:J10"/>
    <mergeCell ref="K10:L10"/>
  </mergeCells>
  <phoneticPr fontId="8" type="noConversion"/>
  <pageMargins left="0.55486111111111103" right="0.16111111111111101" top="0.60624999999999996" bottom="0.40902777777777799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幼儿教师1</vt:lpstr>
      <vt:lpstr>体育教师</vt:lpstr>
      <vt:lpstr>公布表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卜德荣</cp:lastModifiedBy>
  <dcterms:created xsi:type="dcterms:W3CDTF">2020-11-29T01:42:00Z</dcterms:created>
  <dcterms:modified xsi:type="dcterms:W3CDTF">2020-11-29T13:15:37Z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